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Password="CCDF" lockStructure="1"/>
  <bookViews>
    <workbookView xWindow="0" yWindow="345" windowWidth="21690" windowHeight="7650"/>
  </bookViews>
  <sheets>
    <sheet name="PROPOSITION" sheetId="2" r:id="rId1"/>
    <sheet name="PW print to PDF" sheetId="14" state="hidden" r:id="rId2"/>
    <sheet name="EQUIPEMENTS" sheetId="1" state="hidden" r:id="rId3"/>
    <sheet name="RESPONSABILITE CIVILE" sheetId="6" state="hidden" r:id="rId4"/>
    <sheet name="Annexes supplementaires" sheetId="12" r:id="rId5"/>
    <sheet name="List des Pieces et Outils" sheetId="11" r:id="rId6"/>
    <sheet name="ENGAGEMENTS FORMELS" sheetId="13" r:id="rId7"/>
    <sheet name="QUESTIONNAIRE DE RECLAMATION" sheetId="9" state="hidden" r:id="rId8"/>
    <sheet name="DBD app hide" sheetId="7" state="hidden" r:id="rId9"/>
    <sheet name="DBD hide" sheetId="8" state="hidden" r:id="rId10"/>
  </sheets>
  <externalReferences>
    <externalReference r:id="rId11"/>
    <externalReference r:id="rId12"/>
    <externalReference r:id="rId13"/>
    <externalReference r:id="rId14"/>
    <externalReference r:id="rId15"/>
  </externalReferences>
  <definedNames>
    <definedName name="_xlnm.Print_Area" localSheetId="4">'Annexes supplementaires'!$A$1:$AA$92</definedName>
    <definedName name="_xlnm.Print_Area" localSheetId="9">'DBD hide'!$A$1:$AA$105</definedName>
    <definedName name="_xlnm.Print_Area" localSheetId="6">'ENGAGEMENTS FORMELS'!$A$1:$K$55</definedName>
    <definedName name="_xlnm.Print_Area" localSheetId="2">EQUIPEMENTS!$A$1:$AB$185</definedName>
    <definedName name="_xlnm.Print_Area" localSheetId="5">'List des Pieces et Outils'!$A$1:$F$35</definedName>
    <definedName name="_xlnm.Print_Area" localSheetId="0">PROPOSITION!$A$1:$AA$261</definedName>
    <definedName name="_xlnm.Print_Area" localSheetId="1">'PW print to PDF'!$A$1:$AB$54</definedName>
    <definedName name="_xlnm.Print_Area" localSheetId="7">'QUESTIONNAIRE DE RECLAMATION'!$A$1:$AA$45</definedName>
    <definedName name="_xlnm.Print_Area" localSheetId="3">'RESPONSABILITE CIVILE'!$A$1:$I$44</definedName>
  </definedNames>
  <calcPr calcId="145621"/>
</workbook>
</file>

<file path=xl/calcChain.xml><?xml version="1.0" encoding="utf-8"?>
<calcChain xmlns="http://schemas.openxmlformats.org/spreadsheetml/2006/main">
  <c r="P284" i="1" l="1"/>
  <c r="O284" i="1"/>
  <c r="P283" i="1"/>
  <c r="O283" i="1"/>
  <c r="P282" i="1"/>
  <c r="O282" i="1"/>
  <c r="P281" i="1"/>
  <c r="O281" i="1"/>
  <c r="P280" i="1"/>
  <c r="O280" i="1"/>
  <c r="P279" i="1"/>
  <c r="O279" i="1"/>
  <c r="P278" i="1"/>
  <c r="O278" i="1"/>
  <c r="P277" i="1"/>
  <c r="O277" i="1"/>
  <c r="P276" i="1"/>
  <c r="O276" i="1"/>
  <c r="P275" i="1"/>
  <c r="O275" i="1"/>
  <c r="P274" i="1"/>
  <c r="O274" i="1"/>
  <c r="P273" i="1"/>
  <c r="O273" i="1"/>
  <c r="P272" i="1"/>
  <c r="O272" i="1"/>
  <c r="P271" i="1"/>
  <c r="O271" i="1"/>
  <c r="P270" i="1"/>
  <c r="O270" i="1"/>
  <c r="P269" i="1"/>
  <c r="O269" i="1"/>
  <c r="P268" i="1"/>
  <c r="O268" i="1"/>
  <c r="P267" i="1"/>
  <c r="O267" i="1"/>
  <c r="P266" i="1"/>
  <c r="O266" i="1"/>
  <c r="P265" i="1"/>
  <c r="O265" i="1"/>
  <c r="P264" i="1"/>
  <c r="O264" i="1"/>
  <c r="P263" i="1"/>
  <c r="O263" i="1"/>
  <c r="P262" i="1"/>
  <c r="O262" i="1"/>
  <c r="P261" i="1"/>
  <c r="O261" i="1"/>
  <c r="P260" i="1"/>
  <c r="O260" i="1"/>
  <c r="EG263" i="1"/>
  <c r="EG262" i="1"/>
  <c r="EG261" i="1"/>
  <c r="EG260" i="1"/>
  <c r="EU284" i="1"/>
  <c r="ET284" i="1"/>
  <c r="ER284" i="1"/>
  <c r="ES284" i="1" s="1"/>
  <c r="EV284" i="1" s="1"/>
  <c r="EP284" i="1"/>
  <c r="EO284" i="1"/>
  <c r="EN284" i="1"/>
  <c r="EK284" i="1"/>
  <c r="EJ284" i="1"/>
  <c r="EI284" i="1"/>
  <c r="EH284" i="1"/>
  <c r="EL284" i="1" s="1"/>
  <c r="EU283" i="1"/>
  <c r="ET283" i="1"/>
  <c r="ES283" i="1"/>
  <c r="EV283" i="1" s="1"/>
  <c r="ER283" i="1"/>
  <c r="EO283" i="1"/>
  <c r="EN283" i="1"/>
  <c r="EP283" i="1" s="1"/>
  <c r="EK283" i="1"/>
  <c r="EJ283" i="1"/>
  <c r="EI283" i="1"/>
  <c r="EH283" i="1"/>
  <c r="EL283" i="1" s="1"/>
  <c r="EU282" i="1"/>
  <c r="ET282" i="1"/>
  <c r="ER282" i="1"/>
  <c r="ES282" i="1" s="1"/>
  <c r="EV282" i="1" s="1"/>
  <c r="EP282" i="1"/>
  <c r="EO282" i="1"/>
  <c r="EN282" i="1"/>
  <c r="EK282" i="1"/>
  <c r="EJ282" i="1"/>
  <c r="EI282" i="1"/>
  <c r="EH282" i="1"/>
  <c r="EL282" i="1" s="1"/>
  <c r="EU281" i="1"/>
  <c r="ET281" i="1"/>
  <c r="ES281" i="1"/>
  <c r="EV281" i="1" s="1"/>
  <c r="EW281" i="1" s="1"/>
  <c r="ER281" i="1"/>
  <c r="EO281" i="1"/>
  <c r="EN281" i="1"/>
  <c r="EP281" i="1" s="1"/>
  <c r="EK281" i="1"/>
  <c r="EJ281" i="1"/>
  <c r="EI281" i="1"/>
  <c r="EH281" i="1"/>
  <c r="EL281" i="1" s="1"/>
  <c r="EU280" i="1"/>
  <c r="ET280" i="1"/>
  <c r="ER280" i="1"/>
  <c r="ES280" i="1" s="1"/>
  <c r="EV280" i="1" s="1"/>
  <c r="EP280" i="1"/>
  <c r="EO280" i="1"/>
  <c r="EN280" i="1"/>
  <c r="EK280" i="1"/>
  <c r="EJ280" i="1"/>
  <c r="EI280" i="1"/>
  <c r="EH280" i="1"/>
  <c r="EL280" i="1" s="1"/>
  <c r="EU279" i="1"/>
  <c r="ET279" i="1"/>
  <c r="ES279" i="1"/>
  <c r="EV279" i="1" s="1"/>
  <c r="EW279" i="1" s="1"/>
  <c r="ER279" i="1"/>
  <c r="EO279" i="1"/>
  <c r="EN279" i="1"/>
  <c r="EP279" i="1" s="1"/>
  <c r="EK279" i="1"/>
  <c r="EJ279" i="1"/>
  <c r="EI279" i="1"/>
  <c r="EH279" i="1"/>
  <c r="EL279" i="1" s="1"/>
  <c r="EU278" i="1"/>
  <c r="ET278" i="1"/>
  <c r="ER278" i="1"/>
  <c r="ES278" i="1" s="1"/>
  <c r="EV278" i="1" s="1"/>
  <c r="EP278" i="1"/>
  <c r="EO278" i="1"/>
  <c r="EN278" i="1"/>
  <c r="EK278" i="1"/>
  <c r="EJ278" i="1"/>
  <c r="EI278" i="1"/>
  <c r="EH278" i="1"/>
  <c r="EL278" i="1" s="1"/>
  <c r="EU277" i="1"/>
  <c r="ET277" i="1"/>
  <c r="ES277" i="1"/>
  <c r="EV277" i="1" s="1"/>
  <c r="EW277" i="1" s="1"/>
  <c r="ER277" i="1"/>
  <c r="EO277" i="1"/>
  <c r="EN277" i="1"/>
  <c r="EP277" i="1" s="1"/>
  <c r="EK277" i="1"/>
  <c r="EJ277" i="1"/>
  <c r="EI277" i="1"/>
  <c r="EH277" i="1"/>
  <c r="EL277" i="1" s="1"/>
  <c r="EU276" i="1"/>
  <c r="ET276" i="1"/>
  <c r="ER276" i="1"/>
  <c r="ES276" i="1" s="1"/>
  <c r="EV276" i="1" s="1"/>
  <c r="EP276" i="1"/>
  <c r="EO276" i="1"/>
  <c r="EN276" i="1"/>
  <c r="EK276" i="1"/>
  <c r="EJ276" i="1"/>
  <c r="EI276" i="1"/>
  <c r="EH276" i="1"/>
  <c r="EL276" i="1" s="1"/>
  <c r="EU275" i="1"/>
  <c r="ET275" i="1"/>
  <c r="ES275" i="1"/>
  <c r="EV275" i="1" s="1"/>
  <c r="EW275" i="1" s="1"/>
  <c r="ER275" i="1"/>
  <c r="EO275" i="1"/>
  <c r="EN275" i="1"/>
  <c r="EP275" i="1" s="1"/>
  <c r="EK275" i="1"/>
  <c r="EJ275" i="1"/>
  <c r="EI275" i="1"/>
  <c r="EH275" i="1"/>
  <c r="EL275" i="1" s="1"/>
  <c r="EU274" i="1"/>
  <c r="ET274" i="1"/>
  <c r="ER274" i="1"/>
  <c r="ES274" i="1" s="1"/>
  <c r="EV274" i="1" s="1"/>
  <c r="EP274" i="1"/>
  <c r="EO274" i="1"/>
  <c r="EN274" i="1"/>
  <c r="EK274" i="1"/>
  <c r="EJ274" i="1"/>
  <c r="EI274" i="1"/>
  <c r="EH274" i="1"/>
  <c r="EL274" i="1" s="1"/>
  <c r="EU273" i="1"/>
  <c r="ET273" i="1"/>
  <c r="ES273" i="1"/>
  <c r="EV273" i="1" s="1"/>
  <c r="EW273" i="1" s="1"/>
  <c r="ER273" i="1"/>
  <c r="EO273" i="1"/>
  <c r="EN273" i="1"/>
  <c r="EP273" i="1" s="1"/>
  <c r="EK273" i="1"/>
  <c r="EJ273" i="1"/>
  <c r="EI273" i="1"/>
  <c r="EH273" i="1"/>
  <c r="EL273" i="1" s="1"/>
  <c r="EU272" i="1"/>
  <c r="ET272" i="1"/>
  <c r="ER272" i="1"/>
  <c r="ES272" i="1" s="1"/>
  <c r="EV272" i="1" s="1"/>
  <c r="EP272" i="1"/>
  <c r="EO272" i="1"/>
  <c r="EN272" i="1"/>
  <c r="EK272" i="1"/>
  <c r="EJ272" i="1"/>
  <c r="EI272" i="1"/>
  <c r="EH272" i="1"/>
  <c r="EL272" i="1" s="1"/>
  <c r="EU271" i="1"/>
  <c r="ET271" i="1"/>
  <c r="ES271" i="1"/>
  <c r="EV271" i="1" s="1"/>
  <c r="EW271" i="1" s="1"/>
  <c r="ER271" i="1"/>
  <c r="EO271" i="1"/>
  <c r="EN271" i="1"/>
  <c r="EP271" i="1" s="1"/>
  <c r="EK271" i="1"/>
  <c r="EJ271" i="1"/>
  <c r="EI271" i="1"/>
  <c r="EH271" i="1"/>
  <c r="EL271" i="1" s="1"/>
  <c r="EU270" i="1"/>
  <c r="ET270" i="1"/>
  <c r="ER270" i="1"/>
  <c r="ES270" i="1" s="1"/>
  <c r="EV270" i="1" s="1"/>
  <c r="EP270" i="1"/>
  <c r="EO270" i="1"/>
  <c r="EN270" i="1"/>
  <c r="EK270" i="1"/>
  <c r="EJ270" i="1"/>
  <c r="EI270" i="1"/>
  <c r="EH270" i="1"/>
  <c r="EL270" i="1" s="1"/>
  <c r="EU269" i="1"/>
  <c r="ET269" i="1"/>
  <c r="ES269" i="1"/>
  <c r="EV269" i="1" s="1"/>
  <c r="EW269" i="1" s="1"/>
  <c r="ER269" i="1"/>
  <c r="EO269" i="1"/>
  <c r="EN269" i="1"/>
  <c r="EP269" i="1" s="1"/>
  <c r="EK269" i="1"/>
  <c r="EJ269" i="1"/>
  <c r="EI269" i="1"/>
  <c r="EH269" i="1"/>
  <c r="EL269" i="1" s="1"/>
  <c r="EU268" i="1"/>
  <c r="ET268" i="1"/>
  <c r="ER268" i="1"/>
  <c r="ES268" i="1" s="1"/>
  <c r="EV268" i="1" s="1"/>
  <c r="EP268" i="1"/>
  <c r="EO268" i="1"/>
  <c r="EN268" i="1"/>
  <c r="EK268" i="1"/>
  <c r="EJ268" i="1"/>
  <c r="EI268" i="1"/>
  <c r="EH268" i="1"/>
  <c r="EL268" i="1" s="1"/>
  <c r="EU267" i="1"/>
  <c r="ET267" i="1"/>
  <c r="ES267" i="1"/>
  <c r="EV267" i="1" s="1"/>
  <c r="EW267" i="1" s="1"/>
  <c r="ER267" i="1"/>
  <c r="EO267" i="1"/>
  <c r="EN267" i="1"/>
  <c r="EP267" i="1" s="1"/>
  <c r="EK267" i="1"/>
  <c r="EJ267" i="1"/>
  <c r="EI267" i="1"/>
  <c r="EH267" i="1"/>
  <c r="EL267" i="1" s="1"/>
  <c r="EU266" i="1"/>
  <c r="ET266" i="1"/>
  <c r="ER266" i="1"/>
  <c r="ES266" i="1" s="1"/>
  <c r="EV266" i="1" s="1"/>
  <c r="EP266" i="1"/>
  <c r="EO266" i="1"/>
  <c r="EN266" i="1"/>
  <c r="EK266" i="1"/>
  <c r="EJ266" i="1"/>
  <c r="EI266" i="1"/>
  <c r="EH266" i="1"/>
  <c r="EL266" i="1" s="1"/>
  <c r="EU265" i="1"/>
  <c r="ET265" i="1"/>
  <c r="ES265" i="1"/>
  <c r="EV265" i="1" s="1"/>
  <c r="EW265" i="1" s="1"/>
  <c r="ER265" i="1"/>
  <c r="EO265" i="1"/>
  <c r="EN265" i="1"/>
  <c r="EP265" i="1" s="1"/>
  <c r="EK265" i="1"/>
  <c r="EJ265" i="1"/>
  <c r="EI265" i="1"/>
  <c r="EH265" i="1"/>
  <c r="EL265" i="1" s="1"/>
  <c r="EU264" i="1"/>
  <c r="ET264" i="1"/>
  <c r="ER264" i="1"/>
  <c r="ES264" i="1" s="1"/>
  <c r="EV264" i="1" s="1"/>
  <c r="EP264" i="1"/>
  <c r="EO264" i="1"/>
  <c r="EN264" i="1"/>
  <c r="EK264" i="1"/>
  <c r="EJ264" i="1"/>
  <c r="EI264" i="1"/>
  <c r="EH264" i="1"/>
  <c r="EL264" i="1" s="1"/>
  <c r="EU263" i="1"/>
  <c r="ET263" i="1"/>
  <c r="ER263" i="1"/>
  <c r="ES263" i="1" s="1"/>
  <c r="EV263" i="1" s="1"/>
  <c r="EW263" i="1" s="1"/>
  <c r="EO263" i="1"/>
  <c r="EN263" i="1"/>
  <c r="EK263" i="1"/>
  <c r="EJ263" i="1"/>
  <c r="EI263" i="1"/>
  <c r="EH263" i="1"/>
  <c r="EU262" i="1"/>
  <c r="ET262" i="1"/>
  <c r="ER262" i="1"/>
  <c r="ES262" i="1" s="1"/>
  <c r="EV262" i="1" s="1"/>
  <c r="EO262" i="1"/>
  <c r="EN262" i="1"/>
  <c r="EP262" i="1" s="1"/>
  <c r="EK262" i="1"/>
  <c r="EJ262" i="1"/>
  <c r="EI262" i="1"/>
  <c r="EH262" i="1"/>
  <c r="EU261" i="1"/>
  <c r="ET261" i="1"/>
  <c r="ER261" i="1"/>
  <c r="ES261" i="1" s="1"/>
  <c r="EV261" i="1" s="1"/>
  <c r="EW261" i="1" s="1"/>
  <c r="EO261" i="1"/>
  <c r="EN261" i="1"/>
  <c r="EK261" i="1"/>
  <c r="EJ261" i="1"/>
  <c r="EI261" i="1"/>
  <c r="EH261" i="1"/>
  <c r="EK260" i="1"/>
  <c r="EN260" i="1"/>
  <c r="EO260" i="1"/>
  <c r="EJ260" i="1"/>
  <c r="EL262" i="1" l="1"/>
  <c r="EL261" i="1"/>
  <c r="EP261" i="1"/>
  <c r="EL263" i="1"/>
  <c r="EP263" i="1"/>
  <c r="EW262" i="1"/>
  <c r="EW264" i="1"/>
  <c r="EW266" i="1"/>
  <c r="EW283" i="1"/>
  <c r="EW268" i="1"/>
  <c r="EW270" i="1"/>
  <c r="EW272" i="1"/>
  <c r="EW274" i="1"/>
  <c r="EW276" i="1"/>
  <c r="EW278" i="1"/>
  <c r="EW280" i="1"/>
  <c r="EW282" i="1"/>
  <c r="EW284" i="1"/>
  <c r="R48" i="1" l="1"/>
  <c r="R47" i="1"/>
  <c r="R46" i="1"/>
  <c r="R45" i="1"/>
  <c r="R44" i="1"/>
  <c r="R43" i="1"/>
  <c r="R42" i="1"/>
  <c r="R41" i="1"/>
  <c r="R40" i="1"/>
  <c r="R39" i="1"/>
  <c r="R38" i="1"/>
  <c r="R37" i="1"/>
  <c r="R36" i="1"/>
  <c r="R35" i="1"/>
  <c r="R34" i="1"/>
  <c r="R33" i="1"/>
  <c r="R32" i="1"/>
  <c r="R31" i="1"/>
  <c r="R30" i="1"/>
  <c r="P27" i="1"/>
  <c r="P26" i="1"/>
  <c r="P25" i="1"/>
  <c r="G24" i="1"/>
  <c r="BB260" i="1" s="1"/>
  <c r="P24" i="1"/>
  <c r="BC260" i="1" l="1"/>
  <c r="R48" i="14"/>
  <c r="R47" i="14"/>
  <c r="R46" i="14"/>
  <c r="R45" i="14"/>
  <c r="R44" i="14"/>
  <c r="R43" i="14"/>
  <c r="R42" i="14"/>
  <c r="R41" i="14"/>
  <c r="R40" i="14"/>
  <c r="R39" i="14"/>
  <c r="R38" i="14"/>
  <c r="R37" i="14"/>
  <c r="R36" i="14"/>
  <c r="R35" i="14"/>
  <c r="R34" i="14"/>
  <c r="R33" i="14"/>
  <c r="R32" i="14"/>
  <c r="R31" i="14"/>
  <c r="R30" i="14"/>
  <c r="R29" i="14"/>
  <c r="R28" i="14"/>
  <c r="R27" i="14"/>
  <c r="R26" i="14"/>
  <c r="R25" i="14"/>
  <c r="P48" i="14"/>
  <c r="P47" i="14"/>
  <c r="P46" i="14"/>
  <c r="P45" i="14"/>
  <c r="P44" i="14"/>
  <c r="P43" i="14"/>
  <c r="P42" i="14"/>
  <c r="P41" i="14"/>
  <c r="P40" i="14"/>
  <c r="P39" i="14"/>
  <c r="P38" i="14"/>
  <c r="P37" i="14"/>
  <c r="P36" i="14"/>
  <c r="P35" i="14"/>
  <c r="P34" i="14"/>
  <c r="P33" i="14"/>
  <c r="P32" i="14"/>
  <c r="P31" i="14"/>
  <c r="P30" i="14"/>
  <c r="P29" i="14"/>
  <c r="P28" i="14"/>
  <c r="P27" i="14"/>
  <c r="P26" i="14"/>
  <c r="P25" i="14"/>
  <c r="R24" i="14"/>
  <c r="P24" i="14"/>
  <c r="R52" i="14" l="1"/>
  <c r="EO49" i="14"/>
  <c r="BU49" i="14"/>
  <c r="AN49" i="14"/>
  <c r="K277" i="14"/>
  <c r="K276" i="14"/>
  <c r="K275" i="14"/>
  <c r="K274" i="14"/>
  <c r="K273" i="14"/>
  <c r="K272" i="14"/>
  <c r="K271" i="14"/>
  <c r="K270" i="14"/>
  <c r="K269" i="14"/>
  <c r="K268" i="14"/>
  <c r="K267" i="14"/>
  <c r="K266" i="14"/>
  <c r="K265" i="14"/>
  <c r="K264" i="14"/>
  <c r="K263" i="14"/>
  <c r="K262" i="14"/>
  <c r="K261" i="14"/>
  <c r="K260" i="14"/>
  <c r="K259" i="14"/>
  <c r="K258" i="14"/>
  <c r="K257" i="14"/>
  <c r="K256" i="14"/>
  <c r="K255" i="14"/>
  <c r="N254" i="14"/>
  <c r="N255" i="14" s="1"/>
  <c r="N256" i="14" s="1"/>
  <c r="N257" i="14" s="1"/>
  <c r="N258" i="14" s="1"/>
  <c r="N259" i="14" s="1"/>
  <c r="N260" i="14" s="1"/>
  <c r="N261" i="14" s="1"/>
  <c r="N262" i="14" s="1"/>
  <c r="N263" i="14" s="1"/>
  <c r="N264" i="14" s="1"/>
  <c r="N265" i="14" s="1"/>
  <c r="N266" i="14" s="1"/>
  <c r="N267" i="14" s="1"/>
  <c r="N268" i="14" s="1"/>
  <c r="N269" i="14" s="1"/>
  <c r="N270" i="14" s="1"/>
  <c r="N271" i="14" s="1"/>
  <c r="N272" i="14" s="1"/>
  <c r="N273" i="14" s="1"/>
  <c r="N274" i="14" s="1"/>
  <c r="N275" i="14" s="1"/>
  <c r="N276" i="14" s="1"/>
  <c r="N277" i="14" s="1"/>
  <c r="L254" i="14"/>
  <c r="L255" i="14" s="1"/>
  <c r="L256" i="14" s="1"/>
  <c r="L257" i="14" s="1"/>
  <c r="L258" i="14" s="1"/>
  <c r="L259" i="14" s="1"/>
  <c r="L260" i="14" s="1"/>
  <c r="L261" i="14" s="1"/>
  <c r="L262" i="14" s="1"/>
  <c r="L263" i="14" s="1"/>
  <c r="L264" i="14" s="1"/>
  <c r="L265" i="14" s="1"/>
  <c r="L266" i="14" s="1"/>
  <c r="L267" i="14" s="1"/>
  <c r="L268" i="14" s="1"/>
  <c r="L269" i="14" s="1"/>
  <c r="L270" i="14" s="1"/>
  <c r="L271" i="14" s="1"/>
  <c r="L272" i="14" s="1"/>
  <c r="L273" i="14" s="1"/>
  <c r="L274" i="14" s="1"/>
  <c r="L275" i="14" s="1"/>
  <c r="L276" i="14" s="1"/>
  <c r="L277" i="14" s="1"/>
  <c r="K254" i="14"/>
  <c r="K253" i="14"/>
  <c r="AD251" i="14"/>
  <c r="N129" i="14" s="1"/>
  <c r="B250" i="14"/>
  <c r="E253" i="14" s="1"/>
  <c r="AA233" i="14"/>
  <c r="Z233" i="14"/>
  <c r="Y233" i="14"/>
  <c r="O190" i="14"/>
  <c r="F190" i="14"/>
  <c r="N139" i="14"/>
  <c r="T139" i="14" s="1"/>
  <c r="N137" i="14"/>
  <c r="T137" i="14" s="1"/>
  <c r="N133" i="14"/>
  <c r="T133" i="14" s="1"/>
  <c r="N127" i="14"/>
  <c r="T127" i="14" s="1"/>
  <c r="H127" i="14"/>
  <c r="N125" i="14"/>
  <c r="T125" i="14" s="1"/>
  <c r="H125" i="14"/>
  <c r="N123" i="14"/>
  <c r="T123" i="14" s="1"/>
  <c r="H123" i="14"/>
  <c r="N121" i="14"/>
  <c r="T121" i="14" s="1"/>
  <c r="H121" i="14"/>
  <c r="N119" i="14"/>
  <c r="T119" i="14" s="1"/>
  <c r="H119" i="14"/>
  <c r="T113" i="14"/>
  <c r="T112" i="14"/>
  <c r="T110" i="14"/>
  <c r="AH109" i="14"/>
  <c r="AN109" i="14" s="1"/>
  <c r="AG108" i="14"/>
  <c r="EF48" i="14"/>
  <c r="EG48" i="14" s="1"/>
  <c r="AN48" i="14"/>
  <c r="R277" i="14" s="1"/>
  <c r="EF47" i="14"/>
  <c r="EG47" i="14" s="1"/>
  <c r="AN47" i="14"/>
  <c r="R276" i="14" s="1"/>
  <c r="AH47" i="14"/>
  <c r="EF46" i="14"/>
  <c r="EG46" i="14" s="1"/>
  <c r="AN46" i="14"/>
  <c r="R275" i="14" s="1"/>
  <c r="EF45" i="14"/>
  <c r="EG45" i="14" s="1"/>
  <c r="AN45" i="14"/>
  <c r="R274" i="14" s="1"/>
  <c r="AH45" i="14"/>
  <c r="EF44" i="14"/>
  <c r="EG44" i="14" s="1"/>
  <c r="AN44" i="14"/>
  <c r="R273" i="14" s="1"/>
  <c r="AH44" i="14"/>
  <c r="EF43" i="14"/>
  <c r="EG43" i="14" s="1"/>
  <c r="AN43" i="14"/>
  <c r="R272" i="14" s="1"/>
  <c r="EF42" i="14"/>
  <c r="EG42" i="14" s="1"/>
  <c r="AN42" i="14"/>
  <c r="R271" i="14" s="1"/>
  <c r="AH42" i="14"/>
  <c r="EF41" i="14"/>
  <c r="EG41" i="14" s="1"/>
  <c r="AN41" i="14"/>
  <c r="R270" i="14" s="1"/>
  <c r="EF40" i="14"/>
  <c r="EG40" i="14" s="1"/>
  <c r="AN40" i="14"/>
  <c r="R269" i="14" s="1"/>
  <c r="EF39" i="14"/>
  <c r="EG39" i="14" s="1"/>
  <c r="AN39" i="14"/>
  <c r="R268" i="14" s="1"/>
  <c r="AH39" i="14"/>
  <c r="EF38" i="14"/>
  <c r="EG38" i="14" s="1"/>
  <c r="AN38" i="14"/>
  <c r="R267" i="14" s="1"/>
  <c r="AH38" i="14"/>
  <c r="EF37" i="14"/>
  <c r="EG37" i="14" s="1"/>
  <c r="AN37" i="14"/>
  <c r="R266" i="14" s="1"/>
  <c r="EF36" i="14"/>
  <c r="EG36" i="14" s="1"/>
  <c r="AN36" i="14"/>
  <c r="R265" i="14" s="1"/>
  <c r="EF35" i="14"/>
  <c r="EG35" i="14" s="1"/>
  <c r="AN35" i="14"/>
  <c r="R264" i="14" s="1"/>
  <c r="EF34" i="14"/>
  <c r="EG34" i="14" s="1"/>
  <c r="AN34" i="14"/>
  <c r="R263" i="14" s="1"/>
  <c r="EF33" i="14"/>
  <c r="EG33" i="14" s="1"/>
  <c r="AN33" i="14"/>
  <c r="R262" i="14" s="1"/>
  <c r="EF32" i="14"/>
  <c r="EG32" i="14" s="1"/>
  <c r="AN32" i="14"/>
  <c r="R261" i="14" s="1"/>
  <c r="AH32" i="14"/>
  <c r="EF31" i="14"/>
  <c r="EG31" i="14" s="1"/>
  <c r="AN31" i="14"/>
  <c r="R260" i="14" s="1"/>
  <c r="AH31" i="14"/>
  <c r="EF30" i="14"/>
  <c r="EG30" i="14" s="1"/>
  <c r="AN30" i="14"/>
  <c r="R259" i="14" s="1"/>
  <c r="AH30" i="14"/>
  <c r="EF29" i="14"/>
  <c r="EG29" i="14" s="1"/>
  <c r="AN29" i="14"/>
  <c r="R258" i="14" s="1"/>
  <c r="AH29" i="14"/>
  <c r="EF28" i="14"/>
  <c r="EG28" i="14" s="1"/>
  <c r="AN28" i="14"/>
  <c r="R257" i="14" s="1"/>
  <c r="AH28" i="14"/>
  <c r="EF27" i="14"/>
  <c r="EG27" i="14" s="1"/>
  <c r="AN27" i="14"/>
  <c r="R256" i="14" s="1"/>
  <c r="EF26" i="14"/>
  <c r="EG26" i="14" s="1"/>
  <c r="AN26" i="14"/>
  <c r="R255" i="14" s="1"/>
  <c r="EF25" i="14"/>
  <c r="EG25" i="14" s="1"/>
  <c r="AN25" i="14"/>
  <c r="R254" i="14" s="1"/>
  <c r="EF24" i="14"/>
  <c r="EG24" i="14" s="1"/>
  <c r="AN24" i="14"/>
  <c r="R253" i="14" s="1"/>
  <c r="AH24" i="14"/>
  <c r="AN22" i="14"/>
  <c r="AH22" i="14"/>
  <c r="N18" i="14"/>
  <c r="AD15" i="14"/>
  <c r="F198" i="14" s="1"/>
  <c r="N15" i="14"/>
  <c r="AA10" i="14" s="1"/>
  <c r="F15" i="14"/>
  <c r="AH33" i="14" s="1"/>
  <c r="AD13" i="14"/>
  <c r="F196" i="14" s="1"/>
  <c r="AA13" i="14"/>
  <c r="N13" i="14"/>
  <c r="AH41" i="14" s="1"/>
  <c r="AD11" i="14"/>
  <c r="F194" i="14" s="1"/>
  <c r="AD8" i="14"/>
  <c r="F192" i="14" s="1"/>
  <c r="EE4" i="14"/>
  <c r="AA8" i="14" l="1"/>
  <c r="AD233" i="14"/>
  <c r="T115" i="14"/>
  <c r="S253" i="14"/>
  <c r="I253" i="14"/>
  <c r="I254" i="14" s="1"/>
  <c r="I255" i="14" s="1"/>
  <c r="I256" i="14" s="1"/>
  <c r="I257" i="14" s="1"/>
  <c r="I258" i="14" s="1"/>
  <c r="I259" i="14" s="1"/>
  <c r="I260" i="14" s="1"/>
  <c r="I261" i="14" s="1"/>
  <c r="I262" i="14" s="1"/>
  <c r="I263" i="14" s="1"/>
  <c r="I264" i="14" s="1"/>
  <c r="I265" i="14" s="1"/>
  <c r="I266" i="14" s="1"/>
  <c r="I267" i="14" s="1"/>
  <c r="I268" i="14" s="1"/>
  <c r="I269" i="14" s="1"/>
  <c r="I270" i="14" s="1"/>
  <c r="I271" i="14" s="1"/>
  <c r="I272" i="14" s="1"/>
  <c r="I273" i="14" s="1"/>
  <c r="I274" i="14" s="1"/>
  <c r="I275" i="14" s="1"/>
  <c r="I276" i="14" s="1"/>
  <c r="I277" i="14" s="1"/>
  <c r="Y143" i="14"/>
  <c r="AA11" i="14"/>
  <c r="E254" i="14"/>
  <c r="AD277" i="14"/>
  <c r="AD276" i="14"/>
  <c r="AD275" i="14"/>
  <c r="AD274" i="14"/>
  <c r="AD273" i="14"/>
  <c r="AD272" i="14"/>
  <c r="AD270" i="14"/>
  <c r="AD271" i="14"/>
  <c r="AD269" i="14"/>
  <c r="AD268" i="14"/>
  <c r="AD266" i="14"/>
  <c r="AD264" i="14"/>
  <c r="AD267" i="14"/>
  <c r="AD262" i="14"/>
  <c r="AD260" i="14"/>
  <c r="AD265" i="14"/>
  <c r="AD254" i="14"/>
  <c r="AD256" i="14"/>
  <c r="AD258" i="14"/>
  <c r="AD253" i="14"/>
  <c r="AD255" i="14"/>
  <c r="AD257" i="14"/>
  <c r="AD259" i="14"/>
  <c r="AD261" i="14"/>
  <c r="AD263" i="14"/>
  <c r="H19" i="6"/>
  <c r="H17" i="6"/>
  <c r="H27" i="6"/>
  <c r="H21" i="6"/>
  <c r="W48" i="1"/>
  <c r="W48" i="14" s="1"/>
  <c r="W47" i="1"/>
  <c r="W47" i="14" s="1"/>
  <c r="AP47" i="14" s="1"/>
  <c r="W46" i="1"/>
  <c r="W46" i="14" s="1"/>
  <c r="AP46" i="14" s="1"/>
  <c r="W45" i="1"/>
  <c r="W45" i="14" s="1"/>
  <c r="AP45" i="14" s="1"/>
  <c r="W44" i="1"/>
  <c r="W44" i="14" s="1"/>
  <c r="AP44" i="14" s="1"/>
  <c r="W43" i="1"/>
  <c r="W43" i="14" s="1"/>
  <c r="AP43" i="14" s="1"/>
  <c r="W42" i="1"/>
  <c r="W42" i="14" s="1"/>
  <c r="AP42" i="14" s="1"/>
  <c r="W41" i="1"/>
  <c r="W41" i="14" s="1"/>
  <c r="AP41" i="14" s="1"/>
  <c r="W40" i="1"/>
  <c r="W40" i="14" s="1"/>
  <c r="AP40" i="14" s="1"/>
  <c r="W39" i="1"/>
  <c r="W39" i="14" s="1"/>
  <c r="AP39" i="14" s="1"/>
  <c r="W38" i="1"/>
  <c r="W38" i="14" s="1"/>
  <c r="AP38" i="14" s="1"/>
  <c r="W37" i="1"/>
  <c r="W37" i="14" s="1"/>
  <c r="AP37" i="14" s="1"/>
  <c r="W36" i="1"/>
  <c r="W36" i="14" s="1"/>
  <c r="AP36" i="14" s="1"/>
  <c r="W35" i="1"/>
  <c r="W35" i="14" s="1"/>
  <c r="AP35" i="14" s="1"/>
  <c r="W34" i="1"/>
  <c r="W34" i="14" s="1"/>
  <c r="AP34" i="14" s="1"/>
  <c r="W33" i="1"/>
  <c r="W33" i="14" s="1"/>
  <c r="AP33" i="14" s="1"/>
  <c r="W32" i="1"/>
  <c r="W32" i="14" s="1"/>
  <c r="AP32" i="14" s="1"/>
  <c r="W31" i="1"/>
  <c r="W31" i="14" s="1"/>
  <c r="AP31" i="14" s="1"/>
  <c r="W30" i="1"/>
  <c r="W30" i="14" s="1"/>
  <c r="AP30" i="14" s="1"/>
  <c r="W29" i="1"/>
  <c r="W29" i="14" s="1"/>
  <c r="AP29" i="14" s="1"/>
  <c r="W28" i="1"/>
  <c r="W28" i="14" s="1"/>
  <c r="AP28" i="14" s="1"/>
  <c r="W27" i="1"/>
  <c r="W27" i="14" s="1"/>
  <c r="AP27" i="14" s="1"/>
  <c r="W26" i="1"/>
  <c r="W26" i="14" s="1"/>
  <c r="AP26" i="14" s="1"/>
  <c r="W25" i="1"/>
  <c r="W25" i="14" s="1"/>
  <c r="AP25" i="14" s="1"/>
  <c r="W24" i="1"/>
  <c r="W24" i="14" s="1"/>
  <c r="AP24" i="14" s="1"/>
  <c r="AA15" i="14" l="1"/>
  <c r="AD49" i="14"/>
  <c r="E255" i="14"/>
  <c r="S254" i="14"/>
  <c r="EH24" i="14"/>
  <c r="EK24" i="14" s="1"/>
  <c r="G27" i="6"/>
  <c r="S255" i="14" l="1"/>
  <c r="EH25" i="14"/>
  <c r="EK25" i="14" s="1"/>
  <c r="E256" i="14"/>
  <c r="Y22" i="2"/>
  <c r="Y23" i="2" s="1"/>
  <c r="Y24" i="2" s="1"/>
  <c r="P48" i="1"/>
  <c r="P47" i="1"/>
  <c r="P46" i="1"/>
  <c r="P45" i="1"/>
  <c r="P44" i="1"/>
  <c r="P43" i="1"/>
  <c r="P42" i="1"/>
  <c r="P41" i="1"/>
  <c r="P40" i="1"/>
  <c r="P39" i="1"/>
  <c r="P38" i="1"/>
  <c r="P37" i="1"/>
  <c r="P36" i="1"/>
  <c r="P35" i="1"/>
  <c r="P34" i="1"/>
  <c r="P33" i="1"/>
  <c r="P32" i="1"/>
  <c r="P31" i="1"/>
  <c r="P30" i="1"/>
  <c r="P29" i="1"/>
  <c r="P28" i="1"/>
  <c r="BU45" i="14" l="1"/>
  <c r="Z274" i="14"/>
  <c r="EY274" i="14"/>
  <c r="EG274" i="14"/>
  <c r="AA45" i="14"/>
  <c r="BU30" i="14"/>
  <c r="AA30" i="14"/>
  <c r="EY259" i="14"/>
  <c r="EG259" i="14"/>
  <c r="Z259" i="14"/>
  <c r="BU38" i="14"/>
  <c r="AA38" i="14"/>
  <c r="Z267" i="14"/>
  <c r="EY267" i="14"/>
  <c r="EG267" i="14"/>
  <c r="BU46" i="14"/>
  <c r="AA46" i="14"/>
  <c r="Z275" i="14"/>
  <c r="EY275" i="14"/>
  <c r="EG275" i="14"/>
  <c r="AA47" i="14"/>
  <c r="Z276" i="14"/>
  <c r="EY276" i="14"/>
  <c r="EG276" i="14"/>
  <c r="BU47" i="14"/>
  <c r="BU37" i="14"/>
  <c r="EY266" i="14"/>
  <c r="Z266" i="14"/>
  <c r="EG266" i="14"/>
  <c r="AA37" i="14"/>
  <c r="AA31" i="14"/>
  <c r="Z260" i="14"/>
  <c r="EG260" i="14"/>
  <c r="EY260" i="14"/>
  <c r="BU31" i="14"/>
  <c r="AA39" i="14"/>
  <c r="Z268" i="14"/>
  <c r="EY268" i="14"/>
  <c r="EG268" i="14"/>
  <c r="BU39" i="14"/>
  <c r="BU32" i="14"/>
  <c r="EY261" i="14"/>
  <c r="EG261" i="14"/>
  <c r="Z261" i="14"/>
  <c r="AA32" i="14"/>
  <c r="Z269" i="14"/>
  <c r="EY269" i="14"/>
  <c r="EG269" i="14"/>
  <c r="AA40" i="14"/>
  <c r="BU40" i="14"/>
  <c r="EY277" i="14"/>
  <c r="EG277" i="14"/>
  <c r="BU48" i="14"/>
  <c r="Z277" i="14"/>
  <c r="AA48" i="14"/>
  <c r="BU33" i="14"/>
  <c r="Z262" i="14"/>
  <c r="EG262" i="14"/>
  <c r="EY262" i="14"/>
  <c r="AA33" i="14"/>
  <c r="BU26" i="14"/>
  <c r="Z255" i="14"/>
  <c r="AA26" i="14"/>
  <c r="EG255" i="14"/>
  <c r="EY255" i="14"/>
  <c r="BU34" i="14"/>
  <c r="AA34" i="14"/>
  <c r="Z263" i="14"/>
  <c r="EY263" i="14"/>
  <c r="EG263" i="14"/>
  <c r="BU42" i="14"/>
  <c r="AA42" i="14"/>
  <c r="Z271" i="14"/>
  <c r="EY271" i="14"/>
  <c r="EG271" i="14"/>
  <c r="BU25" i="14"/>
  <c r="EY254" i="14"/>
  <c r="Z254" i="14"/>
  <c r="EG254" i="14"/>
  <c r="AA25" i="14"/>
  <c r="BU35" i="14"/>
  <c r="AA35" i="14"/>
  <c r="EY264" i="14"/>
  <c r="Z264" i="14"/>
  <c r="EG264" i="14"/>
  <c r="BU41" i="14"/>
  <c r="AA41" i="14"/>
  <c r="EY270" i="14"/>
  <c r="EG270" i="14"/>
  <c r="Z270" i="14"/>
  <c r="AA27" i="14"/>
  <c r="EY256" i="14"/>
  <c r="Z256" i="14"/>
  <c r="EG256" i="14"/>
  <c r="BU27" i="14"/>
  <c r="AA43" i="14"/>
  <c r="EG272" i="14"/>
  <c r="Z272" i="14"/>
  <c r="EY272" i="14"/>
  <c r="BU43" i="14"/>
  <c r="EY257" i="14"/>
  <c r="Z257" i="14"/>
  <c r="EG257" i="14"/>
  <c r="BU28" i="14"/>
  <c r="AA28" i="14"/>
  <c r="AA36" i="14"/>
  <c r="BU36" i="14"/>
  <c r="EY265" i="14"/>
  <c r="Z265" i="14"/>
  <c r="EG265" i="14"/>
  <c r="EY273" i="14"/>
  <c r="EG273" i="14"/>
  <c r="Z273" i="14"/>
  <c r="AA44" i="14"/>
  <c r="BU44" i="14"/>
  <c r="BU29" i="14"/>
  <c r="EG258" i="14"/>
  <c r="Z258" i="14"/>
  <c r="EY258" i="14"/>
  <c r="AA29" i="14"/>
  <c r="E257" i="14"/>
  <c r="S256" i="14"/>
  <c r="EH26" i="14"/>
  <c r="EK26" i="14" s="1"/>
  <c r="AC260" i="1"/>
  <c r="EJ265" i="14" l="1"/>
  <c r="EK265" i="14"/>
  <c r="EN265" i="14"/>
  <c r="ER265" i="14"/>
  <c r="ES265" i="14" s="1"/>
  <c r="EH265" i="14"/>
  <c r="EO265" i="14"/>
  <c r="EI265" i="14"/>
  <c r="EH256" i="14"/>
  <c r="EI256" i="14"/>
  <c r="EJ256" i="14"/>
  <c r="EO256" i="14"/>
  <c r="ER256" i="14"/>
  <c r="ES256" i="14" s="1"/>
  <c r="EK256" i="14"/>
  <c r="EN256" i="14"/>
  <c r="ER263" i="14"/>
  <c r="ES263" i="14" s="1"/>
  <c r="EI263" i="14"/>
  <c r="EH263" i="14"/>
  <c r="EK263" i="14"/>
  <c r="EJ263" i="14"/>
  <c r="EO263" i="14"/>
  <c r="EN263" i="14"/>
  <c r="T37" i="14"/>
  <c r="AE37" i="14" s="1"/>
  <c r="AO37" i="14"/>
  <c r="EO257" i="14"/>
  <c r="EN257" i="14"/>
  <c r="EJ257" i="14"/>
  <c r="EI257" i="14"/>
  <c r="EK257" i="14"/>
  <c r="ER257" i="14"/>
  <c r="ES257" i="14" s="1"/>
  <c r="EH257" i="14"/>
  <c r="ER258" i="14"/>
  <c r="ES258" i="14" s="1"/>
  <c r="EH258" i="14"/>
  <c r="EK258" i="14"/>
  <c r="EJ258" i="14"/>
  <c r="EN258" i="14"/>
  <c r="EI258" i="14"/>
  <c r="EO258" i="14"/>
  <c r="ER264" i="14"/>
  <c r="ES264" i="14" s="1"/>
  <c r="EH264" i="14"/>
  <c r="EN264" i="14"/>
  <c r="EI264" i="14"/>
  <c r="EJ264" i="14"/>
  <c r="EK264" i="14"/>
  <c r="EO264" i="14"/>
  <c r="T32" i="14"/>
  <c r="AE32" i="14" s="1"/>
  <c r="AO32" i="14"/>
  <c r="EK266" i="14"/>
  <c r="EI266" i="14"/>
  <c r="EO266" i="14"/>
  <c r="EJ266" i="14"/>
  <c r="ER266" i="14"/>
  <c r="ES266" i="14" s="1"/>
  <c r="EH266" i="14"/>
  <c r="EN266" i="14"/>
  <c r="EP266" i="14" s="1"/>
  <c r="T47" i="14"/>
  <c r="AE47" i="14" s="1"/>
  <c r="AO47" i="14"/>
  <c r="T45" i="14"/>
  <c r="AE45" i="14" s="1"/>
  <c r="AO45" i="14"/>
  <c r="T33" i="14"/>
  <c r="AE33" i="14" s="1"/>
  <c r="AO33" i="14"/>
  <c r="EN277" i="14"/>
  <c r="EK277" i="14"/>
  <c r="EH277" i="14"/>
  <c r="EJ277" i="14"/>
  <c r="ER277" i="14"/>
  <c r="ES277" i="14" s="1"/>
  <c r="EO277" i="14"/>
  <c r="EI277" i="14"/>
  <c r="T39" i="14"/>
  <c r="AE39" i="14" s="1"/>
  <c r="AO39" i="14"/>
  <c r="ER275" i="14"/>
  <c r="ES275" i="14" s="1"/>
  <c r="EK275" i="14"/>
  <c r="EI275" i="14"/>
  <c r="EN275" i="14"/>
  <c r="EH275" i="14"/>
  <c r="EO275" i="14"/>
  <c r="EJ275" i="14"/>
  <c r="T38" i="14"/>
  <c r="AE38" i="14" s="1"/>
  <c r="AO38" i="14"/>
  <c r="EN274" i="14"/>
  <c r="EO274" i="14"/>
  <c r="EJ274" i="14"/>
  <c r="EH274" i="14"/>
  <c r="ER274" i="14"/>
  <c r="ES274" i="14" s="1"/>
  <c r="EK274" i="14"/>
  <c r="EI274" i="14"/>
  <c r="EJ271" i="14"/>
  <c r="EH271" i="14"/>
  <c r="EN271" i="14"/>
  <c r="EI271" i="14"/>
  <c r="EK271" i="14"/>
  <c r="ER271" i="14"/>
  <c r="ES271" i="14" s="1"/>
  <c r="EO271" i="14"/>
  <c r="T34" i="14"/>
  <c r="AE34" i="14" s="1"/>
  <c r="AO34" i="14"/>
  <c r="EN261" i="14"/>
  <c r="EK261" i="14"/>
  <c r="EO261" i="14"/>
  <c r="EJ261" i="14"/>
  <c r="ER261" i="14"/>
  <c r="ES261" i="14" s="1"/>
  <c r="EH261" i="14"/>
  <c r="EI261" i="14"/>
  <c r="T44" i="14"/>
  <c r="AE44" i="14" s="1"/>
  <c r="AO44" i="14"/>
  <c r="T36" i="14"/>
  <c r="AE36" i="14" s="1"/>
  <c r="AO36" i="14"/>
  <c r="T35" i="14"/>
  <c r="AE35" i="14" s="1"/>
  <c r="AO35" i="14"/>
  <c r="EN262" i="14"/>
  <c r="ER262" i="14"/>
  <c r="ES262" i="14" s="1"/>
  <c r="EI262" i="14"/>
  <c r="EH262" i="14"/>
  <c r="EO262" i="14"/>
  <c r="EJ262" i="14"/>
  <c r="EK262" i="14"/>
  <c r="T28" i="14"/>
  <c r="AE28" i="14" s="1"/>
  <c r="AO28" i="14"/>
  <c r="EN272" i="14"/>
  <c r="EI272" i="14"/>
  <c r="EO272" i="14"/>
  <c r="ER272" i="14"/>
  <c r="ES272" i="14" s="1"/>
  <c r="EH272" i="14"/>
  <c r="EK272" i="14"/>
  <c r="EJ272" i="14"/>
  <c r="EO270" i="14"/>
  <c r="EJ270" i="14"/>
  <c r="EN270" i="14"/>
  <c r="EI270" i="14"/>
  <c r="EK270" i="14"/>
  <c r="ER270" i="14"/>
  <c r="ES270" i="14" s="1"/>
  <c r="EH270" i="14"/>
  <c r="T40" i="14"/>
  <c r="AE40" i="14" s="1"/>
  <c r="AO40" i="14"/>
  <c r="EH260" i="14"/>
  <c r="EO260" i="14"/>
  <c r="EJ260" i="14"/>
  <c r="EK260" i="14"/>
  <c r="EN260" i="14"/>
  <c r="EI260" i="14"/>
  <c r="ER260" i="14"/>
  <c r="ES260" i="14" s="1"/>
  <c r="T46" i="14"/>
  <c r="AE46" i="14" s="1"/>
  <c r="AO46" i="14"/>
  <c r="EK259" i="14"/>
  <c r="EO259" i="14"/>
  <c r="EI259" i="14"/>
  <c r="EN259" i="14"/>
  <c r="EH259" i="14"/>
  <c r="ER259" i="14"/>
  <c r="ES259" i="14" s="1"/>
  <c r="EJ259" i="14"/>
  <c r="AO27" i="14"/>
  <c r="T27" i="14"/>
  <c r="AE27" i="14" s="1"/>
  <c r="T29" i="14"/>
  <c r="AE29" i="14" s="1"/>
  <c r="AO29" i="14"/>
  <c r="EK273" i="14"/>
  <c r="EI273" i="14"/>
  <c r="EH273" i="14"/>
  <c r="EN273" i="14"/>
  <c r="ER273" i="14"/>
  <c r="ES273" i="14" s="1"/>
  <c r="EO273" i="14"/>
  <c r="EJ273" i="14"/>
  <c r="T43" i="14"/>
  <c r="AE43" i="14" s="1"/>
  <c r="AO43" i="14"/>
  <c r="T25" i="14"/>
  <c r="AE25" i="14" s="1"/>
  <c r="AO25" i="14"/>
  <c r="T42" i="14"/>
  <c r="AE42" i="14" s="1"/>
  <c r="AO42" i="14"/>
  <c r="EO255" i="14"/>
  <c r="EJ255" i="14"/>
  <c r="EN255" i="14"/>
  <c r="EI255" i="14"/>
  <c r="EK255" i="14"/>
  <c r="ER255" i="14"/>
  <c r="ES255" i="14" s="1"/>
  <c r="EH255" i="14"/>
  <c r="ER269" i="14"/>
  <c r="ES269" i="14" s="1"/>
  <c r="EH269" i="14"/>
  <c r="EK269" i="14"/>
  <c r="EN269" i="14"/>
  <c r="EJ269" i="14"/>
  <c r="EI269" i="14"/>
  <c r="EO269" i="14"/>
  <c r="ER276" i="14"/>
  <c r="ES276" i="14" s="1"/>
  <c r="EH276" i="14"/>
  <c r="EO276" i="14"/>
  <c r="EJ276" i="14"/>
  <c r="EI276" i="14"/>
  <c r="EK276" i="14"/>
  <c r="EN276" i="14"/>
  <c r="EP276" i="14" s="1"/>
  <c r="T41" i="14"/>
  <c r="AE41" i="14" s="1"/>
  <c r="AO41" i="14"/>
  <c r="EN254" i="14"/>
  <c r="EI254" i="14"/>
  <c r="EJ254" i="14"/>
  <c r="ER254" i="14"/>
  <c r="ES254" i="14" s="1"/>
  <c r="EH254" i="14"/>
  <c r="EK254" i="14"/>
  <c r="EO254" i="14"/>
  <c r="T26" i="14"/>
  <c r="AE26" i="14" s="1"/>
  <c r="AO26" i="14"/>
  <c r="T48" i="14"/>
  <c r="AE48" i="14" s="1"/>
  <c r="AO48" i="14"/>
  <c r="EJ268" i="14"/>
  <c r="EN268" i="14"/>
  <c r="EK268" i="14"/>
  <c r="EH268" i="14"/>
  <c r="ER268" i="14"/>
  <c r="ES268" i="14" s="1"/>
  <c r="EO268" i="14"/>
  <c r="EI268" i="14"/>
  <c r="AO31" i="14"/>
  <c r="T31" i="14"/>
  <c r="AE31" i="14" s="1"/>
  <c r="EN267" i="14"/>
  <c r="EO267" i="14"/>
  <c r="EI267" i="14"/>
  <c r="ER267" i="14"/>
  <c r="ES267" i="14" s="1"/>
  <c r="EH267" i="14"/>
  <c r="EK267" i="14"/>
  <c r="EJ267" i="14"/>
  <c r="T30" i="14"/>
  <c r="AE30" i="14" s="1"/>
  <c r="AO30" i="14"/>
  <c r="EH27" i="14"/>
  <c r="EK27" i="14" s="1"/>
  <c r="S257" i="14"/>
  <c r="E258" i="14"/>
  <c r="P53" i="1"/>
  <c r="P53" i="14" s="1"/>
  <c r="R52"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V29" i="1"/>
  <c r="U29" i="1"/>
  <c r="V28" i="1"/>
  <c r="U28" i="1"/>
  <c r="V27" i="1"/>
  <c r="U27" i="1"/>
  <c r="V26" i="1"/>
  <c r="U26" i="1"/>
  <c r="V25" i="1"/>
  <c r="U25" i="1"/>
  <c r="V24" i="1"/>
  <c r="EP269" i="14" l="1"/>
  <c r="EP271" i="14"/>
  <c r="EP257" i="14"/>
  <c r="EP263" i="14"/>
  <c r="EP270" i="14"/>
  <c r="EP268" i="14"/>
  <c r="EP254" i="14"/>
  <c r="EP259" i="14"/>
  <c r="EP272" i="14"/>
  <c r="EP275" i="14"/>
  <c r="EP264" i="14"/>
  <c r="EP256" i="14"/>
  <c r="EL270" i="14"/>
  <c r="EL274" i="14"/>
  <c r="EL275" i="14"/>
  <c r="EL263" i="14"/>
  <c r="V27" i="14"/>
  <c r="P256" i="14" s="1"/>
  <c r="V39" i="14"/>
  <c r="P268" i="14" s="1"/>
  <c r="U32" i="14"/>
  <c r="O261" i="14" s="1"/>
  <c r="U40" i="14"/>
  <c r="O269" i="14" s="1"/>
  <c r="U44" i="14"/>
  <c r="O273" i="14" s="1"/>
  <c r="U48" i="14"/>
  <c r="O277" i="14" s="1"/>
  <c r="EP267" i="14"/>
  <c r="EL254" i="14"/>
  <c r="EP260" i="14"/>
  <c r="EL272" i="14"/>
  <c r="EL258" i="14"/>
  <c r="EL256" i="14"/>
  <c r="V31" i="14"/>
  <c r="P260" i="14" s="1"/>
  <c r="V47" i="14"/>
  <c r="P276" i="14" s="1"/>
  <c r="U28" i="14"/>
  <c r="O257" i="14" s="1"/>
  <c r="V24" i="14"/>
  <c r="P253" i="14" s="1"/>
  <c r="V32" i="14"/>
  <c r="P261" i="14" s="1"/>
  <c r="V36" i="14"/>
  <c r="P265" i="14" s="1"/>
  <c r="V40" i="14"/>
  <c r="P269" i="14" s="1"/>
  <c r="V44" i="14"/>
  <c r="P273" i="14" s="1"/>
  <c r="V48" i="14"/>
  <c r="P277" i="14" s="1"/>
  <c r="EP255" i="14"/>
  <c r="EL264" i="14"/>
  <c r="V35" i="14"/>
  <c r="P264" i="14" s="1"/>
  <c r="U36" i="14"/>
  <c r="O265" i="14" s="1"/>
  <c r="V28" i="14"/>
  <c r="P257" i="14" s="1"/>
  <c r="U25" i="14"/>
  <c r="O254" i="14" s="1"/>
  <c r="U29" i="14"/>
  <c r="O258" i="14" s="1"/>
  <c r="U33" i="14"/>
  <c r="O262" i="14" s="1"/>
  <c r="U37" i="14"/>
  <c r="O266" i="14" s="1"/>
  <c r="U41" i="14"/>
  <c r="O270" i="14" s="1"/>
  <c r="U45" i="14"/>
  <c r="O274" i="14" s="1"/>
  <c r="EL262" i="14"/>
  <c r="EP261" i="14"/>
  <c r="EL271" i="14"/>
  <c r="EP274" i="14"/>
  <c r="EL277" i="14"/>
  <c r="EL257" i="14"/>
  <c r="EL269" i="14"/>
  <c r="EL265" i="14"/>
  <c r="V33" i="14"/>
  <c r="P262" i="14" s="1"/>
  <c r="V45" i="14"/>
  <c r="P274" i="14" s="1"/>
  <c r="U30" i="14"/>
  <c r="O259" i="14" s="1"/>
  <c r="U42" i="14"/>
  <c r="O271" i="14" s="1"/>
  <c r="U46" i="14"/>
  <c r="O275" i="14" s="1"/>
  <c r="EL267" i="14"/>
  <c r="EL276" i="14"/>
  <c r="EL260" i="14"/>
  <c r="EP277" i="14"/>
  <c r="EL266" i="14"/>
  <c r="V25" i="14"/>
  <c r="P254" i="14" s="1"/>
  <c r="V41" i="14"/>
  <c r="P270" i="14" s="1"/>
  <c r="U26" i="14"/>
  <c r="O255" i="14" s="1"/>
  <c r="V26" i="14"/>
  <c r="P255" i="14" s="1"/>
  <c r="V34" i="14"/>
  <c r="P263" i="14" s="1"/>
  <c r="V42" i="14"/>
  <c r="P271" i="14" s="1"/>
  <c r="V46" i="14"/>
  <c r="P275" i="14" s="1"/>
  <c r="EL255" i="14"/>
  <c r="EP273" i="14"/>
  <c r="EP262" i="14"/>
  <c r="EL261" i="14"/>
  <c r="EP258" i="14"/>
  <c r="EP265" i="14"/>
  <c r="V29" i="14"/>
  <c r="P258" i="14" s="1"/>
  <c r="V37" i="14"/>
  <c r="P266" i="14" s="1"/>
  <c r="U34" i="14"/>
  <c r="O263" i="14" s="1"/>
  <c r="U38" i="14"/>
  <c r="O267" i="14" s="1"/>
  <c r="V30" i="14"/>
  <c r="P259" i="14" s="1"/>
  <c r="V38" i="14"/>
  <c r="P267" i="14" s="1"/>
  <c r="U27" i="14"/>
  <c r="O256" i="14" s="1"/>
  <c r="U31" i="14"/>
  <c r="O260" i="14" s="1"/>
  <c r="U35" i="14"/>
  <c r="O264" i="14" s="1"/>
  <c r="U39" i="14"/>
  <c r="O268" i="14" s="1"/>
  <c r="U43" i="14"/>
  <c r="O272" i="14" s="1"/>
  <c r="U47" i="14"/>
  <c r="O276" i="14" s="1"/>
  <c r="EL268" i="14"/>
  <c r="EL273" i="14"/>
  <c r="V43" i="14"/>
  <c r="P272" i="14" s="1"/>
  <c r="EL259" i="14"/>
  <c r="S258" i="14"/>
  <c r="EH28" i="14"/>
  <c r="EK28" i="14" s="1"/>
  <c r="E259" i="14"/>
  <c r="Y51" i="1"/>
  <c r="U24"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N17" i="9"/>
  <c r="F11" i="9"/>
  <c r="F10" i="9"/>
  <c r="F8" i="9"/>
  <c r="K24" i="9" s="1"/>
  <c r="U24" i="14" l="1"/>
  <c r="O253" i="14" s="1"/>
  <c r="S259" i="14"/>
  <c r="EH29" i="14"/>
  <c r="EK29" i="14" s="1"/>
  <c r="E260" i="14"/>
  <c r="G25" i="6"/>
  <c r="C25" i="6"/>
  <c r="N140" i="1"/>
  <c r="T140" i="1" s="1"/>
  <c r="N138" i="1"/>
  <c r="T138" i="1" s="1"/>
  <c r="N134" i="1"/>
  <c r="T134" i="1" s="1"/>
  <c r="AA45" i="2"/>
  <c r="AA44" i="2"/>
  <c r="AA43" i="2"/>
  <c r="AA42" i="2"/>
  <c r="AA41" i="2"/>
  <c r="AA40" i="2"/>
  <c r="AA39" i="2"/>
  <c r="AA38" i="2"/>
  <c r="AA37" i="2"/>
  <c r="AA36" i="2"/>
  <c r="AA35" i="2"/>
  <c r="AA34" i="2"/>
  <c r="AA33" i="2"/>
  <c r="AA32" i="2"/>
  <c r="AA31" i="2"/>
  <c r="AA30" i="2"/>
  <c r="AA29" i="2"/>
  <c r="AA28" i="2"/>
  <c r="AA27" i="2"/>
  <c r="AA26" i="2"/>
  <c r="AA25" i="2"/>
  <c r="AA24" i="2"/>
  <c r="AA23" i="2"/>
  <c r="AA22" i="2"/>
  <c r="AA21" i="2"/>
  <c r="H11" i="6"/>
  <c r="H138" i="1"/>
  <c r="H134" i="1"/>
  <c r="H128" i="1"/>
  <c r="U10" i="1"/>
  <c r="H8" i="6" s="1"/>
  <c r="U11" i="1"/>
  <c r="O197" i="1" s="1"/>
  <c r="N126" i="1"/>
  <c r="EG283" i="1"/>
  <c r="Z268" i="1"/>
  <c r="BU30" i="1"/>
  <c r="EY265" i="1"/>
  <c r="BU28" i="1"/>
  <c r="BU26" i="1"/>
  <c r="BU25" i="1"/>
  <c r="C48" i="1"/>
  <c r="C47" i="1"/>
  <c r="C46" i="1"/>
  <c r="C45" i="1"/>
  <c r="C44" i="1"/>
  <c r="C43" i="1"/>
  <c r="C42" i="1"/>
  <c r="C41" i="1"/>
  <c r="C40" i="1"/>
  <c r="C39" i="1"/>
  <c r="C38" i="1"/>
  <c r="C37" i="1"/>
  <c r="C36" i="1"/>
  <c r="C35" i="1"/>
  <c r="C34" i="1"/>
  <c r="C33" i="1"/>
  <c r="C32" i="1"/>
  <c r="C31" i="1"/>
  <c r="C30" i="1"/>
  <c r="C29" i="1"/>
  <c r="C28" i="1"/>
  <c r="C27" i="1"/>
  <c r="C25" i="1"/>
  <c r="C24" i="1"/>
  <c r="X24" i="1"/>
  <c r="X24" i="14" s="1"/>
  <c r="X48" i="1"/>
  <c r="X48" i="14" s="1"/>
  <c r="X47" i="1"/>
  <c r="X47" i="14" s="1"/>
  <c r="AP47" i="1"/>
  <c r="X46" i="1"/>
  <c r="X46" i="14" s="1"/>
  <c r="AP46" i="1"/>
  <c r="X45" i="1"/>
  <c r="X45" i="14" s="1"/>
  <c r="AP45" i="1"/>
  <c r="X44" i="1"/>
  <c r="X44" i="14" s="1"/>
  <c r="AP44" i="1"/>
  <c r="X43" i="1"/>
  <c r="X43" i="14" s="1"/>
  <c r="X42" i="1"/>
  <c r="X42" i="14" s="1"/>
  <c r="AP42" i="1"/>
  <c r="X41" i="1"/>
  <c r="X41" i="14" s="1"/>
  <c r="AP41" i="1"/>
  <c r="X40" i="1"/>
  <c r="X40" i="14" s="1"/>
  <c r="AP40" i="1"/>
  <c r="X39" i="1"/>
  <c r="X39" i="14" s="1"/>
  <c r="AP39" i="1"/>
  <c r="X38" i="1"/>
  <c r="X38" i="14" s="1"/>
  <c r="AP38" i="1"/>
  <c r="X37" i="1"/>
  <c r="X37" i="14" s="1"/>
  <c r="AP37" i="1"/>
  <c r="X36" i="1"/>
  <c r="X36" i="14" s="1"/>
  <c r="AP36" i="1"/>
  <c r="X35" i="1"/>
  <c r="X35" i="14" s="1"/>
  <c r="AP35" i="1"/>
  <c r="X34" i="1"/>
  <c r="X34" i="14" s="1"/>
  <c r="AP34" i="1"/>
  <c r="X33" i="1"/>
  <c r="X33" i="14" s="1"/>
  <c r="AP33" i="1"/>
  <c r="X32" i="1"/>
  <c r="X32" i="14" s="1"/>
  <c r="AP32" i="1"/>
  <c r="X31" i="1"/>
  <c r="X31" i="14" s="1"/>
  <c r="AP31" i="1"/>
  <c r="X30" i="1"/>
  <c r="X30" i="14" s="1"/>
  <c r="AP30" i="1"/>
  <c r="X29" i="1"/>
  <c r="X29" i="14" s="1"/>
  <c r="AP29" i="1"/>
  <c r="X28" i="1"/>
  <c r="X28" i="14" s="1"/>
  <c r="AP28" i="1"/>
  <c r="X27" i="1"/>
  <c r="X27" i="14" s="1"/>
  <c r="AP27" i="1"/>
  <c r="X26" i="1"/>
  <c r="X26" i="14" s="1"/>
  <c r="AP26" i="1"/>
  <c r="X25" i="1"/>
  <c r="X25" i="14" s="1"/>
  <c r="AP25" i="1"/>
  <c r="F8" i="1"/>
  <c r="F10" i="1"/>
  <c r="F194" i="1" s="1"/>
  <c r="F11" i="1"/>
  <c r="U8" i="1"/>
  <c r="D24" i="1"/>
  <c r="D24" i="14" s="1"/>
  <c r="J24" i="1"/>
  <c r="J24" i="14" s="1"/>
  <c r="M24" i="1"/>
  <c r="M24" i="14" s="1"/>
  <c r="D25" i="1"/>
  <c r="D25" i="14" s="1"/>
  <c r="G25" i="1"/>
  <c r="BC261" i="1" s="1"/>
  <c r="J25" i="1"/>
  <c r="J25" i="14" s="1"/>
  <c r="M25" i="1"/>
  <c r="M25" i="14" s="1"/>
  <c r="BU45" i="1"/>
  <c r="EG279" i="1"/>
  <c r="EY275" i="1"/>
  <c r="EY273" i="1"/>
  <c r="Z271" i="1"/>
  <c r="Z269" i="1"/>
  <c r="N261" i="1"/>
  <c r="N262" i="1" s="1"/>
  <c r="N263" i="1" s="1"/>
  <c r="N264" i="1" s="1"/>
  <c r="N265" i="1" s="1"/>
  <c r="N266" i="1" s="1"/>
  <c r="N267" i="1" s="1"/>
  <c r="N268" i="1" s="1"/>
  <c r="N269" i="1" s="1"/>
  <c r="N270" i="1" s="1"/>
  <c r="N271" i="1" s="1"/>
  <c r="N272" i="1" s="1"/>
  <c r="N273" i="1" s="1"/>
  <c r="N274" i="1" s="1"/>
  <c r="N275" i="1" s="1"/>
  <c r="N276" i="1" s="1"/>
  <c r="N277" i="1" s="1"/>
  <c r="N278" i="1" s="1"/>
  <c r="N279" i="1" s="1"/>
  <c r="N280" i="1" s="1"/>
  <c r="N281" i="1" s="1"/>
  <c r="N282" i="1" s="1"/>
  <c r="N283" i="1" s="1"/>
  <c r="N284" i="1" s="1"/>
  <c r="AP43"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L261" i="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AP24" i="1"/>
  <c r="AN49"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AN22" i="1"/>
  <c r="M30" i="1"/>
  <c r="M30" i="14" s="1"/>
  <c r="J30" i="1"/>
  <c r="J30" i="14" s="1"/>
  <c r="G30" i="1"/>
  <c r="BC266" i="1" s="1"/>
  <c r="D30" i="1"/>
  <c r="D30" i="14" s="1"/>
  <c r="M29" i="1"/>
  <c r="M29" i="14" s="1"/>
  <c r="J29" i="1"/>
  <c r="J29" i="14" s="1"/>
  <c r="G29" i="1"/>
  <c r="D29" i="1"/>
  <c r="D29" i="14" s="1"/>
  <c r="M28" i="1"/>
  <c r="M28" i="14" s="1"/>
  <c r="J28" i="1"/>
  <c r="J28" i="14" s="1"/>
  <c r="G28" i="1"/>
  <c r="BC264" i="1" s="1"/>
  <c r="D28" i="1"/>
  <c r="D28" i="14" s="1"/>
  <c r="M27" i="1"/>
  <c r="M27" i="14" s="1"/>
  <c r="J27" i="1"/>
  <c r="J27" i="14" s="1"/>
  <c r="G27" i="1"/>
  <c r="BC263" i="1" s="1"/>
  <c r="D27" i="1"/>
  <c r="D27" i="14" s="1"/>
  <c r="M26" i="1"/>
  <c r="M26" i="14" s="1"/>
  <c r="J26" i="1"/>
  <c r="J26" i="14" s="1"/>
  <c r="G26" i="1"/>
  <c r="BC262" i="1" s="1"/>
  <c r="D26" i="1"/>
  <c r="D26" i="14" s="1"/>
  <c r="C26" i="1"/>
  <c r="AH22" i="1"/>
  <c r="EE4" i="1"/>
  <c r="D31" i="1"/>
  <c r="D31" i="14" s="1"/>
  <c r="G31" i="1"/>
  <c r="CJ267" i="1" s="1"/>
  <c r="J31" i="1"/>
  <c r="J31" i="14" s="1"/>
  <c r="M31" i="1"/>
  <c r="M31" i="14" s="1"/>
  <c r="D32" i="1"/>
  <c r="D32" i="14" s="1"/>
  <c r="G32" i="1"/>
  <c r="AJ268" i="1" s="1"/>
  <c r="J32" i="1"/>
  <c r="J32" i="14" s="1"/>
  <c r="M32" i="1"/>
  <c r="M32" i="14" s="1"/>
  <c r="F15" i="1"/>
  <c r="AH33" i="1" s="1"/>
  <c r="M47" i="8"/>
  <c r="J47" i="8"/>
  <c r="G47" i="8"/>
  <c r="D47" i="8"/>
  <c r="C47" i="8"/>
  <c r="AJ47" i="8" s="1"/>
  <c r="M46" i="8"/>
  <c r="J46" i="8"/>
  <c r="G46" i="8"/>
  <c r="D46" i="8"/>
  <c r="C46" i="8"/>
  <c r="BH46" i="8" s="1"/>
  <c r="M45" i="8"/>
  <c r="J45" i="8"/>
  <c r="G45" i="8"/>
  <c r="AG170" i="8" s="1"/>
  <c r="D45" i="8"/>
  <c r="C45" i="8"/>
  <c r="M44" i="8"/>
  <c r="J44" i="8"/>
  <c r="G44" i="8"/>
  <c r="AF169" i="8" s="1"/>
  <c r="D44" i="8"/>
  <c r="C44" i="8"/>
  <c r="D169" i="8" s="1"/>
  <c r="M43" i="8"/>
  <c r="J43" i="8"/>
  <c r="G43" i="8"/>
  <c r="D43" i="8"/>
  <c r="C43" i="8"/>
  <c r="BI43" i="8" s="1"/>
  <c r="M42" i="8"/>
  <c r="J42" i="8"/>
  <c r="G42" i="8"/>
  <c r="D42" i="8"/>
  <c r="C42" i="8"/>
  <c r="AJ42" i="8" s="1"/>
  <c r="M41" i="8"/>
  <c r="J41" i="8"/>
  <c r="G41" i="8"/>
  <c r="D41" i="8"/>
  <c r="C41" i="8"/>
  <c r="M40" i="8"/>
  <c r="J40" i="8"/>
  <c r="G40" i="8"/>
  <c r="AP165" i="8" s="1"/>
  <c r="D40" i="8"/>
  <c r="C40" i="8"/>
  <c r="M39" i="8"/>
  <c r="J39" i="8"/>
  <c r="G39" i="8"/>
  <c r="D39" i="8"/>
  <c r="C39" i="8"/>
  <c r="M38" i="8"/>
  <c r="J38" i="8"/>
  <c r="G38" i="8"/>
  <c r="D38" i="8"/>
  <c r="C38" i="8"/>
  <c r="BI38" i="8" s="1"/>
  <c r="M37" i="8"/>
  <c r="J37" i="8"/>
  <c r="G37" i="8"/>
  <c r="AG162" i="8" s="1"/>
  <c r="D37" i="8"/>
  <c r="C37" i="8"/>
  <c r="BH37" i="8" s="1"/>
  <c r="M36" i="8"/>
  <c r="J36" i="8"/>
  <c r="G36" i="8"/>
  <c r="AE161" i="8" s="1"/>
  <c r="D36" i="8"/>
  <c r="C36" i="8"/>
  <c r="M35" i="8"/>
  <c r="J35" i="8"/>
  <c r="G35" i="8"/>
  <c r="D35" i="8"/>
  <c r="C35" i="8"/>
  <c r="AY35" i="8" s="1"/>
  <c r="M34" i="8"/>
  <c r="J34" i="8"/>
  <c r="G34" i="8"/>
  <c r="D34" i="8"/>
  <c r="C34" i="8"/>
  <c r="M33" i="8"/>
  <c r="J33" i="8"/>
  <c r="G33" i="8"/>
  <c r="AH158" i="8" s="1"/>
  <c r="D33" i="8"/>
  <c r="C33" i="8"/>
  <c r="M32" i="8"/>
  <c r="J32" i="8"/>
  <c r="G32" i="8"/>
  <c r="AE157" i="8" s="1"/>
  <c r="D32" i="8"/>
  <c r="C32" i="8"/>
  <c r="M31" i="8"/>
  <c r="J31" i="8"/>
  <c r="G31" i="8"/>
  <c r="D31" i="8"/>
  <c r="C31" i="8"/>
  <c r="AJ31" i="8" s="1"/>
  <c r="M30" i="8"/>
  <c r="J30" i="8"/>
  <c r="G30" i="8"/>
  <c r="D30" i="8"/>
  <c r="C30" i="8"/>
  <c r="AJ30" i="8" s="1"/>
  <c r="M29" i="8"/>
  <c r="J29" i="8"/>
  <c r="G29" i="8"/>
  <c r="AQ154" i="8" s="1"/>
  <c r="D29" i="8"/>
  <c r="C29" i="8"/>
  <c r="M28" i="8"/>
  <c r="J28" i="8"/>
  <c r="G28" i="8"/>
  <c r="AG153" i="8" s="1"/>
  <c r="D28" i="8"/>
  <c r="C28" i="8"/>
  <c r="BH28" i="8" s="1"/>
  <c r="M27" i="8"/>
  <c r="J27" i="8"/>
  <c r="G27" i="8"/>
  <c r="AG152" i="8" s="1"/>
  <c r="D27" i="8"/>
  <c r="C27" i="8"/>
  <c r="AX27" i="8" s="1"/>
  <c r="M26" i="8"/>
  <c r="J26" i="8"/>
  <c r="G26" i="8"/>
  <c r="AU151" i="8" s="1"/>
  <c r="D26" i="8"/>
  <c r="C26" i="8"/>
  <c r="BI26" i="8" s="1"/>
  <c r="M25" i="8"/>
  <c r="J25" i="8"/>
  <c r="G25" i="8"/>
  <c r="D25" i="8"/>
  <c r="C25" i="8"/>
  <c r="BH25" i="8" s="1"/>
  <c r="M24" i="8"/>
  <c r="J24" i="8"/>
  <c r="G24" i="8"/>
  <c r="AO149" i="8" s="1"/>
  <c r="D24" i="8"/>
  <c r="C24" i="8"/>
  <c r="D149" i="8" s="1"/>
  <c r="M48" i="1"/>
  <c r="M48" i="14" s="1"/>
  <c r="J48" i="1"/>
  <c r="J48" i="14" s="1"/>
  <c r="G48" i="1"/>
  <c r="BC284" i="1" s="1"/>
  <c r="D48" i="1"/>
  <c r="D48" i="14" s="1"/>
  <c r="M47" i="1"/>
  <c r="M47" i="14" s="1"/>
  <c r="J47" i="1"/>
  <c r="J47" i="14" s="1"/>
  <c r="G47" i="1"/>
  <c r="BC283" i="1" s="1"/>
  <c r="D47" i="1"/>
  <c r="D47" i="14" s="1"/>
  <c r="M46" i="1"/>
  <c r="M46" i="14" s="1"/>
  <c r="J46" i="1"/>
  <c r="J46" i="14" s="1"/>
  <c r="G46" i="1"/>
  <c r="BC282" i="1" s="1"/>
  <c r="D46" i="1"/>
  <c r="D46" i="14" s="1"/>
  <c r="M45" i="1"/>
  <c r="M45" i="14" s="1"/>
  <c r="J45" i="1"/>
  <c r="J45" i="14" s="1"/>
  <c r="G45" i="1"/>
  <c r="BC281" i="1" s="1"/>
  <c r="D45" i="1"/>
  <c r="D45" i="14" s="1"/>
  <c r="M44" i="1"/>
  <c r="M44" i="14" s="1"/>
  <c r="J44" i="1"/>
  <c r="J44" i="14" s="1"/>
  <c r="G44" i="1"/>
  <c r="BC280" i="1" s="1"/>
  <c r="D44" i="1"/>
  <c r="D44" i="14" s="1"/>
  <c r="M43" i="1"/>
  <c r="M43" i="14" s="1"/>
  <c r="J43" i="1"/>
  <c r="J43" i="14" s="1"/>
  <c r="G43" i="1"/>
  <c r="BC279" i="1" s="1"/>
  <c r="D43" i="1"/>
  <c r="D43" i="14" s="1"/>
  <c r="M42" i="1"/>
  <c r="M42" i="14" s="1"/>
  <c r="J42" i="1"/>
  <c r="J42" i="14" s="1"/>
  <c r="G42" i="1"/>
  <c r="BC278" i="1" s="1"/>
  <c r="D42" i="1"/>
  <c r="D42" i="14" s="1"/>
  <c r="M41" i="1"/>
  <c r="M41" i="14" s="1"/>
  <c r="J41" i="1"/>
  <c r="J41" i="14" s="1"/>
  <c r="G41" i="1"/>
  <c r="BC277" i="1" s="1"/>
  <c r="D41" i="1"/>
  <c r="D41" i="14" s="1"/>
  <c r="M40" i="1"/>
  <c r="M40" i="14" s="1"/>
  <c r="J40" i="1"/>
  <c r="J40" i="14" s="1"/>
  <c r="G40" i="1"/>
  <c r="BC276" i="1" s="1"/>
  <c r="D40" i="1"/>
  <c r="D40" i="14" s="1"/>
  <c r="M39" i="1"/>
  <c r="M39" i="14" s="1"/>
  <c r="J39" i="1"/>
  <c r="J39" i="14" s="1"/>
  <c r="G39" i="1"/>
  <c r="BC275" i="1" s="1"/>
  <c r="D39" i="1"/>
  <c r="D39" i="14" s="1"/>
  <c r="M38" i="1"/>
  <c r="M38" i="14" s="1"/>
  <c r="J38" i="1"/>
  <c r="J38" i="14" s="1"/>
  <c r="G38" i="1"/>
  <c r="BC274" i="1" s="1"/>
  <c r="D38" i="1"/>
  <c r="D38" i="14" s="1"/>
  <c r="AT38" i="1"/>
  <c r="M37" i="1"/>
  <c r="M37" i="14" s="1"/>
  <c r="J37" i="1"/>
  <c r="J37" i="14" s="1"/>
  <c r="G37" i="1"/>
  <c r="BC273" i="1" s="1"/>
  <c r="D37" i="1"/>
  <c r="D37" i="14" s="1"/>
  <c r="D273" i="1"/>
  <c r="M36" i="1"/>
  <c r="M36" i="14" s="1"/>
  <c r="J36" i="1"/>
  <c r="J36" i="14" s="1"/>
  <c r="G36" i="1"/>
  <c r="AU272" i="1" s="1"/>
  <c r="D36" i="1"/>
  <c r="D36" i="14" s="1"/>
  <c r="M35" i="1"/>
  <c r="M35" i="14" s="1"/>
  <c r="J35" i="1"/>
  <c r="J35" i="14" s="1"/>
  <c r="G35" i="1"/>
  <c r="BT271" i="1" s="1"/>
  <c r="D35" i="1"/>
  <c r="D35" i="14" s="1"/>
  <c r="M34" i="1"/>
  <c r="M34" i="14" s="1"/>
  <c r="J34" i="1"/>
  <c r="J34" i="14" s="1"/>
  <c r="G34" i="1"/>
  <c r="DD270" i="1" s="1"/>
  <c r="D34" i="1"/>
  <c r="D34" i="14" s="1"/>
  <c r="M33" i="1"/>
  <c r="M33" i="14" s="1"/>
  <c r="J33" i="1"/>
  <c r="J33" i="14" s="1"/>
  <c r="G33" i="1"/>
  <c r="BC269" i="1" s="1"/>
  <c r="D33" i="1"/>
  <c r="D33" i="14" s="1"/>
  <c r="D23" i="8"/>
  <c r="C23" i="8"/>
  <c r="BH23" i="8" s="1"/>
  <c r="J51" i="8"/>
  <c r="AC24" i="8"/>
  <c r="AC23" i="8"/>
  <c r="C116" i="8"/>
  <c r="C115" i="8"/>
  <c r="C114" i="8"/>
  <c r="C113" i="8"/>
  <c r="C112" i="8"/>
  <c r="C111" i="8"/>
  <c r="C110" i="8"/>
  <c r="C109" i="8"/>
  <c r="W116" i="8"/>
  <c r="W115" i="8"/>
  <c r="W114" i="8"/>
  <c r="W113" i="8"/>
  <c r="W112" i="8"/>
  <c r="W111" i="8"/>
  <c r="W110" i="8"/>
  <c r="W109" i="8"/>
  <c r="E116" i="8"/>
  <c r="E115" i="8"/>
  <c r="E114" i="8"/>
  <c r="E113" i="8"/>
  <c r="E112" i="8"/>
  <c r="E111" i="8"/>
  <c r="E110" i="8"/>
  <c r="E109" i="8"/>
  <c r="B257" i="1"/>
  <c r="B253" i="1" s="1"/>
  <c r="AC21" i="2"/>
  <c r="AD258" i="1"/>
  <c r="AC22" i="2"/>
  <c r="AC23" i="2"/>
  <c r="AC24" i="2"/>
  <c r="AC25" i="2"/>
  <c r="AC26" i="2"/>
  <c r="AC27" i="2"/>
  <c r="AC28" i="2"/>
  <c r="E6" i="6"/>
  <c r="AC47" i="8"/>
  <c r="AC46" i="8"/>
  <c r="AC45" i="8"/>
  <c r="AC44" i="8"/>
  <c r="P44" i="8" s="1"/>
  <c r="O169" i="8" s="1"/>
  <c r="AC43" i="8"/>
  <c r="AC42" i="8"/>
  <c r="AC41" i="8"/>
  <c r="P41" i="8" s="1"/>
  <c r="AT41" i="8" s="1"/>
  <c r="AC40" i="8"/>
  <c r="AC39" i="8"/>
  <c r="AC38" i="8"/>
  <c r="AC37" i="8"/>
  <c r="P37" i="8" s="1"/>
  <c r="O162" i="8" s="1"/>
  <c r="AC36" i="8"/>
  <c r="AC35" i="8"/>
  <c r="AC34" i="8"/>
  <c r="AC33" i="8"/>
  <c r="P33" i="8" s="1"/>
  <c r="O158" i="8" s="1"/>
  <c r="AC32" i="8"/>
  <c r="P32" i="8" s="1"/>
  <c r="AT32" i="8" s="1"/>
  <c r="AC31" i="8"/>
  <c r="AC30" i="8"/>
  <c r="AC29" i="8"/>
  <c r="AC28" i="8"/>
  <c r="AC27" i="8"/>
  <c r="AC26" i="8"/>
  <c r="AC25" i="8"/>
  <c r="M23" i="8"/>
  <c r="J23" i="8"/>
  <c r="G23" i="8"/>
  <c r="AF148" i="8" s="1"/>
  <c r="U11" i="8"/>
  <c r="AE28" i="8" s="1"/>
  <c r="U8" i="8"/>
  <c r="AE27" i="8" s="1"/>
  <c r="N15" i="8"/>
  <c r="P148" i="8" s="1"/>
  <c r="E162" i="8" s="1"/>
  <c r="L162" i="8" s="1"/>
  <c r="N13" i="8"/>
  <c r="AE40" i="8" s="1"/>
  <c r="F15" i="8"/>
  <c r="AE32" i="8" s="1"/>
  <c r="F11" i="8"/>
  <c r="AE26" i="8" s="1"/>
  <c r="F10" i="8"/>
  <c r="AE25" i="8" s="1"/>
  <c r="F8" i="8"/>
  <c r="AE24" i="8" s="1"/>
  <c r="L12" i="6"/>
  <c r="L13" i="6"/>
  <c r="L14" i="6"/>
  <c r="N14" i="6" s="1"/>
  <c r="L15" i="6"/>
  <c r="N15" i="6" s="1"/>
  <c r="E10" i="6"/>
  <c r="H6" i="6"/>
  <c r="B8" i="6"/>
  <c r="B7" i="6"/>
  <c r="B6" i="6"/>
  <c r="L17" i="6"/>
  <c r="L18" i="6"/>
  <c r="N18" i="6" s="1"/>
  <c r="L19" i="6"/>
  <c r="L20" i="6"/>
  <c r="L21" i="6"/>
  <c r="O21" i="6" s="1"/>
  <c r="N15" i="1"/>
  <c r="AA11" i="1" s="1"/>
  <c r="AA240" i="1"/>
  <c r="Z240" i="1"/>
  <c r="Y240" i="1"/>
  <c r="H126" i="1"/>
  <c r="V116" i="8"/>
  <c r="D116" i="8"/>
  <c r="V115" i="8"/>
  <c r="D115" i="8"/>
  <c r="V114" i="8"/>
  <c r="D114" i="8"/>
  <c r="V113" i="8"/>
  <c r="D113" i="8"/>
  <c r="V112" i="8"/>
  <c r="D112" i="8"/>
  <c r="V111" i="8"/>
  <c r="D111" i="8"/>
  <c r="V110" i="8"/>
  <c r="D110" i="8"/>
  <c r="V109" i="8"/>
  <c r="D109" i="8"/>
  <c r="AV172" i="8"/>
  <c r="AK172" i="8"/>
  <c r="P172" i="8"/>
  <c r="AV171" i="8"/>
  <c r="AK171" i="8"/>
  <c r="P171" i="8"/>
  <c r="AV170" i="8"/>
  <c r="AK170" i="8"/>
  <c r="P170" i="8"/>
  <c r="AV169" i="8"/>
  <c r="AK169" i="8"/>
  <c r="P169" i="8"/>
  <c r="AV168" i="8"/>
  <c r="AK168" i="8"/>
  <c r="P168" i="8"/>
  <c r="AV167" i="8"/>
  <c r="AK167" i="8"/>
  <c r="P167" i="8"/>
  <c r="AV166" i="8"/>
  <c r="AK166" i="8"/>
  <c r="P166" i="8"/>
  <c r="AV165" i="8"/>
  <c r="AK165" i="8"/>
  <c r="P165" i="8"/>
  <c r="AV164" i="8"/>
  <c r="AK164" i="8"/>
  <c r="P164" i="8"/>
  <c r="AV163" i="8"/>
  <c r="AK163" i="8"/>
  <c r="P163" i="8"/>
  <c r="AV162" i="8"/>
  <c r="AK162" i="8"/>
  <c r="P162" i="8"/>
  <c r="AV161" i="8"/>
  <c r="AK161" i="8"/>
  <c r="P161" i="8"/>
  <c r="E161" i="8"/>
  <c r="L161" i="8" s="1"/>
  <c r="AV160" i="8"/>
  <c r="AK160" i="8"/>
  <c r="P160" i="8"/>
  <c r="E160" i="8"/>
  <c r="L160" i="8"/>
  <c r="AV159" i="8"/>
  <c r="AK159" i="8"/>
  <c r="P159" i="8"/>
  <c r="E159" i="8"/>
  <c r="L159" i="8" s="1"/>
  <c r="AV158" i="8"/>
  <c r="AK158" i="8"/>
  <c r="P158" i="8"/>
  <c r="E172" i="8" s="1"/>
  <c r="L172" i="8" s="1"/>
  <c r="E158" i="8"/>
  <c r="L158" i="8" s="1"/>
  <c r="AV157" i="8"/>
  <c r="AK157" i="8"/>
  <c r="P157" i="8"/>
  <c r="E171" i="8" s="1"/>
  <c r="L171" i="8" s="1"/>
  <c r="E157" i="8"/>
  <c r="L157" i="8" s="1"/>
  <c r="AV156" i="8"/>
  <c r="AK156" i="8"/>
  <c r="P156" i="8"/>
  <c r="E170" i="8" s="1"/>
  <c r="L170" i="8" s="1"/>
  <c r="E156" i="8"/>
  <c r="L156" i="8" s="1"/>
  <c r="AV155" i="8"/>
  <c r="AK155" i="8"/>
  <c r="P155" i="8"/>
  <c r="E169" i="8"/>
  <c r="L169" i="8" s="1"/>
  <c r="E155" i="8"/>
  <c r="L155" i="8" s="1"/>
  <c r="AV154" i="8"/>
  <c r="AK154" i="8"/>
  <c r="P154" i="8"/>
  <c r="E168" i="8" s="1"/>
  <c r="L168" i="8" s="1"/>
  <c r="E154" i="8"/>
  <c r="L154" i="8"/>
  <c r="AV153" i="8"/>
  <c r="AK153" i="8"/>
  <c r="P153" i="8"/>
  <c r="E167" i="8" s="1"/>
  <c r="L167" i="8" s="1"/>
  <c r="E153" i="8"/>
  <c r="L153" i="8" s="1"/>
  <c r="AV152" i="8"/>
  <c r="AK152" i="8"/>
  <c r="P152" i="8"/>
  <c r="E166" i="8" s="1"/>
  <c r="L166" i="8" s="1"/>
  <c r="E152" i="8"/>
  <c r="L152" i="8" s="1"/>
  <c r="AV151" i="8"/>
  <c r="AK151" i="8"/>
  <c r="P151" i="8"/>
  <c r="E165" i="8" s="1"/>
  <c r="L165" i="8" s="1"/>
  <c r="E151" i="8"/>
  <c r="L151" i="8" s="1"/>
  <c r="AV150" i="8"/>
  <c r="AK150" i="8"/>
  <c r="P150" i="8"/>
  <c r="E164" i="8" s="1"/>
  <c r="L164" i="8" s="1"/>
  <c r="E150" i="8"/>
  <c r="L150" i="8" s="1"/>
  <c r="AV149" i="8"/>
  <c r="AK149" i="8"/>
  <c r="P149" i="8"/>
  <c r="E163" i="8"/>
  <c r="L163" i="8" s="1"/>
  <c r="E149" i="8"/>
  <c r="L149" i="8" s="1"/>
  <c r="AV148" i="8"/>
  <c r="AK148" i="8"/>
  <c r="AB146" i="8"/>
  <c r="Z140" i="8"/>
  <c r="BI48" i="8"/>
  <c r="AT48" i="8"/>
  <c r="BE47" i="8"/>
  <c r="BC47" i="8"/>
  <c r="BD47" i="8" s="1"/>
  <c r="BE46" i="8"/>
  <c r="BC46" i="8"/>
  <c r="BD46" i="8" s="1"/>
  <c r="AH46" i="8"/>
  <c r="BE45" i="8"/>
  <c r="BC45" i="8"/>
  <c r="BD45" i="8" s="1"/>
  <c r="BF45" i="8" s="1"/>
  <c r="AH45" i="8"/>
  <c r="BE44" i="8"/>
  <c r="BC44" i="8"/>
  <c r="BD44" i="8" s="1"/>
  <c r="AH44" i="8"/>
  <c r="BE43" i="8"/>
  <c r="BC43" i="8"/>
  <c r="BD43" i="8" s="1"/>
  <c r="BF43" i="8" s="1"/>
  <c r="AH43" i="8"/>
  <c r="BE42" i="8"/>
  <c r="BC42" i="8"/>
  <c r="BD42" i="8" s="1"/>
  <c r="AH42" i="8"/>
  <c r="AE42" i="8"/>
  <c r="BE41" i="8"/>
  <c r="BC41" i="8"/>
  <c r="BD41" i="8" s="1"/>
  <c r="AH41" i="8"/>
  <c r="AE41" i="8"/>
  <c r="BE40" i="8"/>
  <c r="BC40" i="8"/>
  <c r="BD40" i="8" s="1"/>
  <c r="AH40" i="8"/>
  <c r="BE39" i="8"/>
  <c r="BC39" i="8"/>
  <c r="BD39" i="8" s="1"/>
  <c r="BF39" i="8" s="1"/>
  <c r="AH39" i="8"/>
  <c r="BE38" i="8"/>
  <c r="BC38" i="8"/>
  <c r="BD38" i="8" s="1"/>
  <c r="AH38" i="8"/>
  <c r="AE38" i="8"/>
  <c r="BE37" i="8"/>
  <c r="BC37" i="8"/>
  <c r="BD37" i="8" s="1"/>
  <c r="AH37" i="8"/>
  <c r="AE37" i="8"/>
  <c r="BE36" i="8"/>
  <c r="BC36" i="8"/>
  <c r="BD36" i="8" s="1"/>
  <c r="AH36" i="8"/>
  <c r="BE35" i="8"/>
  <c r="BC35" i="8"/>
  <c r="BD35" i="8" s="1"/>
  <c r="AH35" i="8"/>
  <c r="BE34" i="8"/>
  <c r="BC34" i="8"/>
  <c r="BD34" i="8" s="1"/>
  <c r="AH34" i="8"/>
  <c r="BE33" i="8"/>
  <c r="BC33" i="8"/>
  <c r="BD33" i="8" s="1"/>
  <c r="AH33" i="8"/>
  <c r="BE32" i="8"/>
  <c r="BC32" i="8"/>
  <c r="BD32" i="8" s="1"/>
  <c r="AH32" i="8"/>
  <c r="BE31" i="8"/>
  <c r="BC31" i="8"/>
  <c r="BD31" i="8" s="1"/>
  <c r="AH31" i="8"/>
  <c r="BE30" i="8"/>
  <c r="BC30" i="8"/>
  <c r="BD30" i="8" s="1"/>
  <c r="AH30" i="8"/>
  <c r="AE30" i="8"/>
  <c r="BE29" i="8"/>
  <c r="BC29" i="8"/>
  <c r="BD29" i="8" s="1"/>
  <c r="AH29" i="8"/>
  <c r="AE29" i="8"/>
  <c r="BE28" i="8"/>
  <c r="BC28" i="8"/>
  <c r="BD28" i="8" s="1"/>
  <c r="AH28" i="8"/>
  <c r="BE27" i="8"/>
  <c r="BC27" i="8"/>
  <c r="BD27" i="8" s="1"/>
  <c r="AH27" i="8"/>
  <c r="BE26" i="8"/>
  <c r="BC26" i="8"/>
  <c r="BD26" i="8" s="1"/>
  <c r="AH26" i="8"/>
  <c r="BE25" i="8"/>
  <c r="BC25" i="8"/>
  <c r="BD25" i="8" s="1"/>
  <c r="AH25" i="8"/>
  <c r="BE24" i="8"/>
  <c r="BC24" i="8"/>
  <c r="BD24" i="8" s="1"/>
  <c r="AH24" i="8"/>
  <c r="BE23" i="8"/>
  <c r="BC23" i="8"/>
  <c r="BD23" i="8" s="1"/>
  <c r="BF23" i="8" s="1"/>
  <c r="AH23" i="8"/>
  <c r="AE23" i="8"/>
  <c r="AB15" i="8"/>
  <c r="AB13" i="8"/>
  <c r="AA13" i="8"/>
  <c r="AE31" i="8"/>
  <c r="AB11" i="8"/>
  <c r="AB8" i="8"/>
  <c r="AC45" i="7"/>
  <c r="AB45" i="7"/>
  <c r="V45" i="7"/>
  <c r="P45" i="7"/>
  <c r="M45" i="7"/>
  <c r="J45" i="7"/>
  <c r="G45" i="7"/>
  <c r="D45" i="7"/>
  <c r="C45" i="7"/>
  <c r="AC44" i="7"/>
  <c r="AB44" i="7"/>
  <c r="V44" i="7"/>
  <c r="P44" i="7"/>
  <c r="M44" i="7"/>
  <c r="J44" i="7"/>
  <c r="G44" i="7"/>
  <c r="D44" i="7"/>
  <c r="C44" i="7"/>
  <c r="AC43" i="7"/>
  <c r="AB43" i="7"/>
  <c r="V43" i="7"/>
  <c r="P43" i="7"/>
  <c r="M43" i="7"/>
  <c r="J43" i="7"/>
  <c r="G43" i="7"/>
  <c r="D43" i="7"/>
  <c r="C43" i="7"/>
  <c r="AC42" i="7"/>
  <c r="AB42" i="7"/>
  <c r="V42" i="7"/>
  <c r="P42" i="7"/>
  <c r="M42" i="7"/>
  <c r="J42" i="7"/>
  <c r="G42" i="7"/>
  <c r="D42" i="7"/>
  <c r="C42" i="7"/>
  <c r="AC41" i="7"/>
  <c r="AB41" i="7"/>
  <c r="V41" i="7"/>
  <c r="P41" i="7"/>
  <c r="M41" i="7"/>
  <c r="J41" i="7"/>
  <c r="G41" i="7"/>
  <c r="D41" i="7"/>
  <c r="C41" i="7"/>
  <c r="AC40" i="7"/>
  <c r="AB40" i="7"/>
  <c r="V40" i="7"/>
  <c r="P40" i="7"/>
  <c r="M40" i="7"/>
  <c r="J40" i="7"/>
  <c r="G40" i="7"/>
  <c r="D40" i="7"/>
  <c r="C40" i="7"/>
  <c r="AC39" i="7"/>
  <c r="AB39" i="7"/>
  <c r="V39" i="7"/>
  <c r="P39" i="7"/>
  <c r="M39" i="7"/>
  <c r="J39" i="7"/>
  <c r="G39" i="7"/>
  <c r="D39" i="7"/>
  <c r="C39" i="7"/>
  <c r="AC38" i="7"/>
  <c r="AB38" i="7"/>
  <c r="V38" i="7"/>
  <c r="P38" i="7"/>
  <c r="M38" i="7"/>
  <c r="J38" i="7"/>
  <c r="G38" i="7"/>
  <c r="D38" i="7"/>
  <c r="C38" i="7"/>
  <c r="AC37" i="7"/>
  <c r="AB37" i="7"/>
  <c r="V37" i="7"/>
  <c r="P37" i="7"/>
  <c r="M37" i="7"/>
  <c r="J37" i="7"/>
  <c r="G37" i="7"/>
  <c r="D37" i="7"/>
  <c r="C37" i="7"/>
  <c r="AC36" i="7"/>
  <c r="AB36" i="7"/>
  <c r="V36" i="7"/>
  <c r="P36" i="7"/>
  <c r="M36" i="7"/>
  <c r="J36" i="7"/>
  <c r="G36" i="7"/>
  <c r="D36" i="7"/>
  <c r="C36" i="7"/>
  <c r="AC35" i="7"/>
  <c r="AB35" i="7"/>
  <c r="V35" i="7"/>
  <c r="P35" i="7"/>
  <c r="M35" i="7"/>
  <c r="J35" i="7"/>
  <c r="G35" i="7"/>
  <c r="D35" i="7"/>
  <c r="C35" i="7"/>
  <c r="AC34" i="7"/>
  <c r="AB34" i="7"/>
  <c r="V34" i="7"/>
  <c r="P34" i="7"/>
  <c r="M34" i="7"/>
  <c r="J34" i="7"/>
  <c r="G34" i="7"/>
  <c r="D34" i="7"/>
  <c r="C34" i="7"/>
  <c r="AC33" i="7"/>
  <c r="AB33" i="7"/>
  <c r="V33" i="7"/>
  <c r="P33" i="7"/>
  <c r="M33" i="7"/>
  <c r="J33" i="7"/>
  <c r="G33" i="7"/>
  <c r="D33" i="7"/>
  <c r="C33" i="7"/>
  <c r="AC32" i="7"/>
  <c r="AB32" i="7"/>
  <c r="V32" i="7"/>
  <c r="P32" i="7"/>
  <c r="M32" i="7"/>
  <c r="J32" i="7"/>
  <c r="G32" i="7"/>
  <c r="D32" i="7"/>
  <c r="C32" i="7"/>
  <c r="AC31" i="7"/>
  <c r="AB31" i="7"/>
  <c r="V31" i="7"/>
  <c r="P31" i="7"/>
  <c r="M31" i="7"/>
  <c r="J31" i="7"/>
  <c r="G31" i="7"/>
  <c r="D31" i="7"/>
  <c r="C31" i="7"/>
  <c r="AC30" i="7"/>
  <c r="AB30" i="7"/>
  <c r="V30" i="7"/>
  <c r="P30" i="7"/>
  <c r="M30" i="7"/>
  <c r="J30" i="7"/>
  <c r="G30" i="7"/>
  <c r="D30" i="7"/>
  <c r="C30" i="7"/>
  <c r="AC29" i="7"/>
  <c r="AB29" i="7"/>
  <c r="V29" i="7"/>
  <c r="P29" i="7"/>
  <c r="M29" i="7"/>
  <c r="J29" i="7"/>
  <c r="G29" i="7"/>
  <c r="D29" i="7"/>
  <c r="C29" i="7"/>
  <c r="AC28" i="7"/>
  <c r="AB28" i="7"/>
  <c r="V28" i="7"/>
  <c r="P28" i="7"/>
  <c r="M28" i="7"/>
  <c r="J28" i="7"/>
  <c r="G28" i="7"/>
  <c r="D28" i="7"/>
  <c r="C28" i="7"/>
  <c r="AC27" i="7"/>
  <c r="AB27" i="7"/>
  <c r="V27" i="7"/>
  <c r="P27" i="7"/>
  <c r="M27" i="7"/>
  <c r="J27" i="7"/>
  <c r="G27" i="7"/>
  <c r="D27" i="7"/>
  <c r="C27" i="7"/>
  <c r="AC26" i="7"/>
  <c r="AB26" i="7"/>
  <c r="V26" i="7"/>
  <c r="P26" i="7"/>
  <c r="M26" i="7"/>
  <c r="J26" i="7"/>
  <c r="G26" i="7"/>
  <c r="D26" i="7"/>
  <c r="C26" i="7"/>
  <c r="AC25" i="7"/>
  <c r="AB25" i="7"/>
  <c r="V25" i="7"/>
  <c r="P25" i="7"/>
  <c r="M25" i="7"/>
  <c r="J25" i="7"/>
  <c r="G25" i="7"/>
  <c r="D25" i="7"/>
  <c r="C25" i="7"/>
  <c r="AC24" i="7"/>
  <c r="AB24" i="7"/>
  <c r="V24" i="7"/>
  <c r="P24" i="7"/>
  <c r="M24" i="7"/>
  <c r="J24" i="7"/>
  <c r="G24" i="7"/>
  <c r="D24" i="7"/>
  <c r="C24" i="7"/>
  <c r="AC23" i="7"/>
  <c r="AB23" i="7"/>
  <c r="V23" i="7"/>
  <c r="P23" i="7"/>
  <c r="M23" i="7"/>
  <c r="J23" i="7"/>
  <c r="G23" i="7"/>
  <c r="D23" i="7"/>
  <c r="C23" i="7"/>
  <c r="AC22" i="7"/>
  <c r="AB22" i="7"/>
  <c r="V22" i="7"/>
  <c r="P22" i="7"/>
  <c r="M22" i="7"/>
  <c r="J22" i="7"/>
  <c r="G22" i="7"/>
  <c r="D22" i="7"/>
  <c r="C22" i="7"/>
  <c r="AC21" i="7"/>
  <c r="AB21" i="7"/>
  <c r="V21" i="7"/>
  <c r="P21" i="7"/>
  <c r="M21" i="7"/>
  <c r="J21" i="7"/>
  <c r="G21" i="7"/>
  <c r="D21" i="7"/>
  <c r="C21" i="7"/>
  <c r="N17" i="7"/>
  <c r="V15" i="7"/>
  <c r="F15" i="7"/>
  <c r="V13" i="7"/>
  <c r="K92" i="7" s="1"/>
  <c r="V11" i="7"/>
  <c r="F11" i="7"/>
  <c r="F10" i="7"/>
  <c r="V8" i="7"/>
  <c r="F8" i="7"/>
  <c r="K63" i="7" s="1"/>
  <c r="M8" i="6"/>
  <c r="N8" i="6" s="1"/>
  <c r="AC45" i="2"/>
  <c r="AC44" i="2"/>
  <c r="AC43" i="2"/>
  <c r="AC42" i="2"/>
  <c r="AC41" i="2"/>
  <c r="AC40" i="2"/>
  <c r="AC39" i="2"/>
  <c r="AC38" i="2"/>
  <c r="AC37" i="2"/>
  <c r="AC36" i="2"/>
  <c r="AC35" i="2"/>
  <c r="AC34" i="2"/>
  <c r="AC33" i="2"/>
  <c r="AC32" i="2"/>
  <c r="AC31" i="2"/>
  <c r="AC30" i="2"/>
  <c r="AC29" i="2"/>
  <c r="AA13" i="1"/>
  <c r="BU49" i="1"/>
  <c r="AB21" i="2"/>
  <c r="N120" i="1"/>
  <c r="T120" i="1" s="1"/>
  <c r="N122" i="1"/>
  <c r="T122" i="1" s="1"/>
  <c r="N124" i="1"/>
  <c r="T124" i="1" s="1"/>
  <c r="T126" i="1"/>
  <c r="N128" i="1"/>
  <c r="T128" i="1" s="1"/>
  <c r="EO49" i="1"/>
  <c r="EF48" i="1"/>
  <c r="EG48" i="1" s="1"/>
  <c r="EF47" i="1"/>
  <c r="EG47" i="1" s="1"/>
  <c r="EF46" i="1"/>
  <c r="EG46" i="1" s="1"/>
  <c r="EF45" i="1"/>
  <c r="EG45" i="1" s="1"/>
  <c r="EF44" i="1"/>
  <c r="EG44" i="1" s="1"/>
  <c r="EF43" i="1"/>
  <c r="EG43" i="1" s="1"/>
  <c r="EF42" i="1"/>
  <c r="EG42" i="1" s="1"/>
  <c r="EF41" i="1"/>
  <c r="EG41" i="1" s="1"/>
  <c r="EF40" i="1"/>
  <c r="EG40" i="1" s="1"/>
  <c r="EF39" i="1"/>
  <c r="EG39" i="1" s="1"/>
  <c r="EF38" i="1"/>
  <c r="EG38" i="1" s="1"/>
  <c r="EF37" i="1"/>
  <c r="EG37" i="1" s="1"/>
  <c r="EF36" i="1"/>
  <c r="EG36" i="1" s="1"/>
  <c r="EF35" i="1"/>
  <c r="EG35" i="1" s="1"/>
  <c r="EF34" i="1"/>
  <c r="EG34" i="1" s="1"/>
  <c r="EF33" i="1"/>
  <c r="EG33" i="1" s="1"/>
  <c r="EF32" i="1"/>
  <c r="EG32" i="1" s="1"/>
  <c r="EF31" i="1"/>
  <c r="EG31" i="1" s="1"/>
  <c r="EF30" i="1"/>
  <c r="EG30" i="1" s="1"/>
  <c r="EF29" i="1"/>
  <c r="EG29" i="1" s="1"/>
  <c r="EF28" i="1"/>
  <c r="EG28" i="1" s="1"/>
  <c r="EF27" i="1"/>
  <c r="EG27" i="1" s="1"/>
  <c r="EF26" i="1"/>
  <c r="EG26" i="1" s="1"/>
  <c r="EF25" i="1"/>
  <c r="EG25" i="1" s="1"/>
  <c r="AH31" i="1"/>
  <c r="EF24" i="1"/>
  <c r="EG24" i="1" s="1"/>
  <c r="N18" i="1"/>
  <c r="H124" i="1"/>
  <c r="H122" i="1"/>
  <c r="H120" i="1"/>
  <c r="AD15" i="1"/>
  <c r="F205" i="1" s="1"/>
  <c r="AD13" i="1"/>
  <c r="F203" i="1" s="1"/>
  <c r="AD11" i="1"/>
  <c r="F201" i="1" s="1"/>
  <c r="AD8" i="1"/>
  <c r="F199" i="1" s="1"/>
  <c r="AH32" i="1"/>
  <c r="N13" i="1"/>
  <c r="AH41" i="1" s="1"/>
  <c r="N17" i="2"/>
  <c r="T65" i="2"/>
  <c r="T67" i="2"/>
  <c r="T70" i="2" s="1"/>
  <c r="T68" i="2"/>
  <c r="T111" i="1"/>
  <c r="T113" i="1"/>
  <c r="T114" i="1"/>
  <c r="AH30" i="1"/>
  <c r="Z142" i="8"/>
  <c r="AH45" i="1"/>
  <c r="AH47" i="1"/>
  <c r="AH44" i="1"/>
  <c r="AG109" i="1"/>
  <c r="AH42" i="1"/>
  <c r="AH110" i="1"/>
  <c r="AN110" i="1"/>
  <c r="AH39" i="1"/>
  <c r="AH38" i="1"/>
  <c r="AB48" i="8"/>
  <c r="BH40" i="8"/>
  <c r="AY40" i="8"/>
  <c r="AY36" i="8"/>
  <c r="AX40" i="8"/>
  <c r="AZ40" i="8" s="1"/>
  <c r="AU165" i="8"/>
  <c r="D166" i="8"/>
  <c r="AX36" i="8"/>
  <c r="BH36" i="8"/>
  <c r="AJ36" i="8"/>
  <c r="BH44" i="8"/>
  <c r="AX33" i="8"/>
  <c r="AE164" i="8"/>
  <c r="AT167" i="8"/>
  <c r="AQ171" i="8"/>
  <c r="AR155" i="8"/>
  <c r="AT164" i="8"/>
  <c r="AO164" i="8"/>
  <c r="AY29" i="8"/>
  <c r="BH29" i="8"/>
  <c r="AX29" i="8"/>
  <c r="AY31" i="8"/>
  <c r="AG156" i="8"/>
  <c r="AT156" i="8"/>
  <c r="AR156" i="8"/>
  <c r="AI156" i="8"/>
  <c r="AD156" i="8"/>
  <c r="AJ156" i="8"/>
  <c r="AO168" i="8"/>
  <c r="BI34" i="8"/>
  <c r="BI36" i="8"/>
  <c r="D161" i="8"/>
  <c r="AH163" i="8"/>
  <c r="AR171" i="8"/>
  <c r="DP264" i="1"/>
  <c r="DR276" i="1"/>
  <c r="DT278" i="1"/>
  <c r="DR282" i="1"/>
  <c r="DO265" i="1"/>
  <c r="DO278" i="1"/>
  <c r="DM280" i="1"/>
  <c r="DQ280" i="1"/>
  <c r="DM282" i="1"/>
  <c r="CC274" i="1"/>
  <c r="BY276" i="1"/>
  <c r="CC278" i="1"/>
  <c r="BY280" i="1"/>
  <c r="CG280" i="1"/>
  <c r="BY282" i="1"/>
  <c r="A34" i="1"/>
  <c r="Z279" i="1"/>
  <c r="CA274" i="1"/>
  <c r="CA278" i="1"/>
  <c r="CE280" i="1"/>
  <c r="CA282" i="1"/>
  <c r="CJ279" i="1"/>
  <c r="CB279" i="1"/>
  <c r="CE279" i="1"/>
  <c r="CF283" i="1"/>
  <c r="CI283" i="1"/>
  <c r="CA283" i="1"/>
  <c r="CH264" i="1"/>
  <c r="CG264" i="1"/>
  <c r="CD265" i="1"/>
  <c r="BZ265" i="1"/>
  <c r="CB266" i="1"/>
  <c r="CA266" i="1"/>
  <c r="T116" i="1"/>
  <c r="CF274" i="1"/>
  <c r="BZ276" i="1"/>
  <c r="CB276" i="1"/>
  <c r="CD276" i="1"/>
  <c r="CF276" i="1"/>
  <c r="CH276" i="1"/>
  <c r="CJ276" i="1"/>
  <c r="CB278" i="1"/>
  <c r="CH278" i="1"/>
  <c r="BZ280" i="1"/>
  <c r="CB280" i="1"/>
  <c r="CD280" i="1"/>
  <c r="CF280" i="1"/>
  <c r="CH280" i="1"/>
  <c r="CJ280" i="1"/>
  <c r="CB282" i="1"/>
  <c r="CF282" i="1"/>
  <c r="CJ282" i="1"/>
  <c r="DC276" i="1"/>
  <c r="CT280" i="1"/>
  <c r="BL264" i="1"/>
  <c r="BK265" i="1"/>
  <c r="BM279" i="1"/>
  <c r="BI283" i="1"/>
  <c r="BJ264" i="1"/>
  <c r="BK279" i="1"/>
  <c r="BJ276" i="1"/>
  <c r="BL276" i="1"/>
  <c r="BJ278" i="1"/>
  <c r="BJ280" i="1"/>
  <c r="BL280" i="1"/>
  <c r="BL282" i="1"/>
  <c r="DB274" i="1"/>
  <c r="CT282" i="1"/>
  <c r="EG268" i="1"/>
  <c r="BM264" i="1"/>
  <c r="BK266" i="1"/>
  <c r="BM274" i="1"/>
  <c r="BI276" i="1"/>
  <c r="BK276" i="1"/>
  <c r="BM276" i="1"/>
  <c r="BM278" i="1"/>
  <c r="BL279" i="1"/>
  <c r="BI280" i="1"/>
  <c r="BK280" i="1"/>
  <c r="BM280" i="1"/>
  <c r="BI282" i="1"/>
  <c r="BM282" i="1"/>
  <c r="BL283" i="1"/>
  <c r="AU280" i="1"/>
  <c r="DE276" i="1"/>
  <c r="BV280" i="1"/>
  <c r="CO282" i="1"/>
  <c r="BX280" i="1"/>
  <c r="P47" i="8"/>
  <c r="O172" i="8" s="1"/>
  <c r="DJ280" i="1"/>
  <c r="DL278" i="1"/>
  <c r="BP276" i="1"/>
  <c r="CT276" i="1"/>
  <c r="DJ276" i="1"/>
  <c r="DG274" i="1"/>
  <c r="BS280" i="1"/>
  <c r="DI282" i="1"/>
  <c r="DF282" i="1"/>
  <c r="DC278" i="1"/>
  <c r="BW280" i="1"/>
  <c r="BX276" i="1"/>
  <c r="CX280" i="1"/>
  <c r="DH280" i="1"/>
  <c r="CY280" i="1"/>
  <c r="BD274" i="1"/>
  <c r="AQ276" i="1"/>
  <c r="BU276" i="1"/>
  <c r="D282" i="1"/>
  <c r="DB276" i="1"/>
  <c r="AO276" i="1"/>
  <c r="AV276" i="1"/>
  <c r="EA34" i="1"/>
  <c r="BS276" i="1"/>
  <c r="DE280" i="1"/>
  <c r="AR280" i="1"/>
  <c r="DL280" i="1"/>
  <c r="BF280" i="1"/>
  <c r="BR282" i="1"/>
  <c r="BF282" i="1"/>
  <c r="AT280" i="1"/>
  <c r="DG280" i="1"/>
  <c r="BU278" i="1"/>
  <c r="AP276" i="1"/>
  <c r="BH274" i="1"/>
  <c r="EY278" i="1"/>
  <c r="P38" i="8"/>
  <c r="AT38" i="8" s="1"/>
  <c r="D278" i="1"/>
  <c r="BX282" i="1"/>
  <c r="CO280" i="1"/>
  <c r="AX262" i="1"/>
  <c r="AW275" i="1"/>
  <c r="AW279" i="1"/>
  <c r="AW283" i="1"/>
  <c r="AX264" i="1"/>
  <c r="AX276" i="1"/>
  <c r="AX280" i="1"/>
  <c r="DL261" i="1"/>
  <c r="CN280" i="1"/>
  <c r="BD280" i="1"/>
  <c r="BR280" i="1"/>
  <c r="EY282" i="1"/>
  <c r="CY278" i="1"/>
  <c r="DJ274" i="1"/>
  <c r="AU276" i="1"/>
  <c r="CW276" i="1"/>
  <c r="DF276" i="1"/>
  <c r="A46" i="1"/>
  <c r="EA46" i="1"/>
  <c r="CU276" i="1"/>
  <c r="BQ276" i="1"/>
  <c r="BH276" i="1"/>
  <c r="BT276" i="1"/>
  <c r="CP276" i="1"/>
  <c r="CN276" i="1"/>
  <c r="CY276" i="1"/>
  <c r="AT34" i="1"/>
  <c r="DF278" i="1"/>
  <c r="CU280" i="1"/>
  <c r="BG280" i="1"/>
  <c r="DB280" i="1"/>
  <c r="AS280" i="1"/>
  <c r="DD280" i="1"/>
  <c r="BU280" i="1"/>
  <c r="AP280" i="1"/>
  <c r="CU282" i="1"/>
  <c r="BG282" i="1"/>
  <c r="DD282" i="1"/>
  <c r="AP282" i="1"/>
  <c r="BH282" i="1"/>
  <c r="DF280" i="1"/>
  <c r="BP280" i="1"/>
  <c r="CW280" i="1"/>
  <c r="AQ280" i="1"/>
  <c r="CV278" i="1"/>
  <c r="BW276" i="1"/>
  <c r="CV274" i="1"/>
  <c r="DE274" i="1"/>
  <c r="DB282" i="1"/>
  <c r="DG282" i="1"/>
  <c r="CP280" i="1"/>
  <c r="AX261" i="1"/>
  <c r="AW264" i="1"/>
  <c r="AW266" i="1"/>
  <c r="AW276" i="1"/>
  <c r="AY276" i="1"/>
  <c r="AY278" i="1"/>
  <c r="AW280" i="1"/>
  <c r="AY280" i="1"/>
  <c r="AY282" i="1"/>
  <c r="BU35" i="1"/>
  <c r="EY283" i="1"/>
  <c r="Z263" i="1"/>
  <c r="BU39" i="1"/>
  <c r="DD265" i="1"/>
  <c r="P27" i="8"/>
  <c r="O152" i="8" s="1"/>
  <c r="P30" i="8"/>
  <c r="AT30" i="8" s="1"/>
  <c r="P35" i="8"/>
  <c r="P31" i="8"/>
  <c r="O156" i="8" s="1"/>
  <c r="AK274" i="1"/>
  <c r="AK276" i="1"/>
  <c r="AK280" i="1"/>
  <c r="AK282" i="1"/>
  <c r="AI276" i="1"/>
  <c r="AI280" i="1"/>
  <c r="AK266" i="1"/>
  <c r="Z265" i="1"/>
  <c r="BU33" i="1"/>
  <c r="BP265" i="1"/>
  <c r="DI279" i="1"/>
  <c r="EG269" i="1"/>
  <c r="CT266" i="1"/>
  <c r="AJ264" i="1"/>
  <c r="AK279" i="1"/>
  <c r="AK283" i="1"/>
  <c r="EY263" i="1"/>
  <c r="BX279" i="1"/>
  <c r="AR264" i="1"/>
  <c r="EY269" i="1"/>
  <c r="BU27" i="1"/>
  <c r="EY271" i="1"/>
  <c r="CO264" i="1"/>
  <c r="BW279" i="1"/>
  <c r="AH279" i="1"/>
  <c r="BU42" i="1"/>
  <c r="BX264" i="1"/>
  <c r="EG276" i="1"/>
  <c r="CX279" i="1"/>
  <c r="AH283" i="1"/>
  <c r="BG279" i="1"/>
  <c r="AQ279" i="1"/>
  <c r="BU43" i="1"/>
  <c r="CS264" i="1"/>
  <c r="AT264" i="1"/>
  <c r="BV264" i="1"/>
  <c r="BF265" i="1"/>
  <c r="CT265" i="1"/>
  <c r="BQ279" i="1"/>
  <c r="CO283" i="1"/>
  <c r="AH265" i="1"/>
  <c r="BU266" i="1"/>
  <c r="EG271" i="1"/>
  <c r="EA37" i="1"/>
  <c r="CV279" i="1"/>
  <c r="DE279" i="1"/>
  <c r="BP279" i="1"/>
  <c r="CS279" i="1"/>
  <c r="BR279" i="1"/>
  <c r="AP279" i="1"/>
  <c r="BU279" i="1"/>
  <c r="DD279" i="1"/>
  <c r="AP264" i="1"/>
  <c r="BR265" i="1"/>
  <c r="CO265" i="1"/>
  <c r="BW265" i="1"/>
  <c r="CV265" i="1"/>
  <c r="BD266" i="1"/>
  <c r="DB266" i="1"/>
  <c r="BP266" i="1"/>
  <c r="DG266" i="1"/>
  <c r="EY279" i="1"/>
  <c r="DI280" i="1"/>
  <c r="AV280" i="1"/>
  <c r="AH280" i="1"/>
  <c r="BQ280" i="1"/>
  <c r="DK280" i="1"/>
  <c r="DC280" i="1"/>
  <c r="CS280" i="1"/>
  <c r="BT280" i="1"/>
  <c r="BE280" i="1"/>
  <c r="AO280" i="1"/>
  <c r="CV280" i="1"/>
  <c r="BH280" i="1"/>
  <c r="CW282" i="1"/>
  <c r="DH282" i="1"/>
  <c r="BS282" i="1"/>
  <c r="EY272" i="1"/>
  <c r="EG272" i="1"/>
  <c r="BU40" i="1"/>
  <c r="DI267" i="1"/>
  <c r="AT279" i="1"/>
  <c r="CU279" i="1"/>
  <c r="CP279" i="1"/>
  <c r="AV264" i="1"/>
  <c r="BW264" i="1"/>
  <c r="DJ264" i="1"/>
  <c r="CY264" i="1"/>
  <c r="CU264" i="1"/>
  <c r="CN264" i="1"/>
  <c r="CS265" i="1"/>
  <c r="DC265" i="1"/>
  <c r="CX265" i="1"/>
  <c r="DH265" i="1"/>
  <c r="BT264" i="1"/>
  <c r="BD262" i="1"/>
  <c r="DL265" i="1"/>
  <c r="DH279" i="1"/>
  <c r="AU279" i="1"/>
  <c r="DC279" i="1"/>
  <c r="EY281" i="1"/>
  <c r="DJ265" i="1"/>
  <c r="AR265" i="1"/>
  <c r="BR266" i="1"/>
  <c r="CW279" i="1"/>
  <c r="DF279" i="1"/>
  <c r="AU266" i="1"/>
  <c r="Z264" i="1"/>
  <c r="EG264" i="1"/>
  <c r="EG266" i="1"/>
  <c r="Z273" i="1"/>
  <c r="EG273" i="1"/>
  <c r="BU37" i="1"/>
  <c r="EG275" i="1"/>
  <c r="Z275" i="1"/>
  <c r="EG282" i="1"/>
  <c r="BU48" i="1"/>
  <c r="P46" i="8"/>
  <c r="O171" i="8" s="1"/>
  <c r="P43" i="8"/>
  <c r="AT43" i="8" s="1"/>
  <c r="Y50" i="8"/>
  <c r="P42" i="8"/>
  <c r="AT42" i="8" s="1"/>
  <c r="D270" i="1"/>
  <c r="CO274" i="1"/>
  <c r="CT274" i="1"/>
  <c r="AS274" i="1"/>
  <c r="BP274" i="1"/>
  <c r="CO276" i="1"/>
  <c r="DG276" i="1"/>
  <c r="AT276" i="1"/>
  <c r="DD276" i="1"/>
  <c r="CX276" i="1"/>
  <c r="BV276" i="1"/>
  <c r="BR276" i="1"/>
  <c r="BD276" i="1"/>
  <c r="DI276" i="1"/>
  <c r="DH276" i="1"/>
  <c r="DK276" i="1"/>
  <c r="CS276" i="1"/>
  <c r="BE276" i="1"/>
  <c r="CV276" i="1"/>
  <c r="DL276" i="1"/>
  <c r="BF276" i="1"/>
  <c r="AH276" i="1"/>
  <c r="BG276" i="1"/>
  <c r="AR276" i="1"/>
  <c r="AS276" i="1"/>
  <c r="BF278" i="1"/>
  <c r="DB278" i="1"/>
  <c r="BX278" i="1"/>
  <c r="CU278" i="1"/>
  <c r="AP278" i="1"/>
  <c r="CS278" i="1"/>
  <c r="DJ278" i="1"/>
  <c r="CT278" i="1"/>
  <c r="Z262" i="1"/>
  <c r="EY284" i="1"/>
  <c r="D281" i="1"/>
  <c r="EA45" i="1"/>
  <c r="AT281" i="1"/>
  <c r="AQ283" i="1"/>
  <c r="CV283" i="1"/>
  <c r="BH283" i="1"/>
  <c r="DE283" i="1"/>
  <c r="AR283" i="1"/>
  <c r="BP283" i="1"/>
  <c r="CP283" i="1"/>
  <c r="CU283" i="1"/>
  <c r="AT283" i="1"/>
  <c r="BE283" i="1"/>
  <c r="DK283" i="1"/>
  <c r="CY283" i="1"/>
  <c r="BF283" i="1"/>
  <c r="CT283" i="1"/>
  <c r="DL283" i="1"/>
  <c r="BG283" i="1"/>
  <c r="AV283" i="1"/>
  <c r="BQ283" i="1"/>
  <c r="AP152" i="8"/>
  <c r="AU152" i="8"/>
  <c r="AT159" i="8"/>
  <c r="AQ159" i="8"/>
  <c r="AF159" i="8"/>
  <c r="AG159" i="8"/>
  <c r="AU159" i="8"/>
  <c r="AO159" i="8"/>
  <c r="AD159" i="8"/>
  <c r="AI159" i="8"/>
  <c r="AJ159" i="8"/>
  <c r="AH159" i="8"/>
  <c r="AR159" i="8"/>
  <c r="AG163" i="8"/>
  <c r="AE163" i="8"/>
  <c r="AO163" i="8"/>
  <c r="AD163" i="8"/>
  <c r="AF163" i="8"/>
  <c r="AQ163" i="8"/>
  <c r="AJ163" i="8"/>
  <c r="AP163" i="8"/>
  <c r="AS163" i="8"/>
  <c r="AI167" i="8"/>
  <c r="AR167" i="8"/>
  <c r="AD167" i="8"/>
  <c r="AG167" i="8"/>
  <c r="AH167" i="8"/>
  <c r="AJ167" i="8"/>
  <c r="AS167" i="8"/>
  <c r="AU167" i="8"/>
  <c r="AF167" i="8"/>
  <c r="AE167" i="8"/>
  <c r="AP167" i="8"/>
  <c r="BI45" i="8"/>
  <c r="D170" i="8"/>
  <c r="AP172" i="8"/>
  <c r="AT172" i="8"/>
  <c r="AQ172" i="8"/>
  <c r="AU172" i="8"/>
  <c r="AJ172" i="8"/>
  <c r="AH172" i="8"/>
  <c r="EY270" i="1"/>
  <c r="EG270" i="1"/>
  <c r="BU34" i="1"/>
  <c r="BU41" i="1"/>
  <c r="Z277" i="1"/>
  <c r="EY277" i="1"/>
  <c r="EG277" i="1"/>
  <c r="Z280" i="1"/>
  <c r="EY280" i="1"/>
  <c r="DI275" i="1"/>
  <c r="AY45" i="8"/>
  <c r="AT163" i="8"/>
  <c r="AR163" i="8"/>
  <c r="AQ167" i="8"/>
  <c r="AT152" i="8"/>
  <c r="AO167" i="8"/>
  <c r="DH283" i="1"/>
  <c r="DC283" i="1"/>
  <c r="AU163" i="8"/>
  <c r="DB283" i="1"/>
  <c r="AJ45" i="8"/>
  <c r="AI163" i="8"/>
  <c r="AP159" i="8"/>
  <c r="AS172" i="8"/>
  <c r="AS159" i="8"/>
  <c r="AE159" i="8"/>
  <c r="Z283" i="1"/>
  <c r="BU47" i="1"/>
  <c r="AR261" i="1"/>
  <c r="AO274" i="1"/>
  <c r="DK282" i="1"/>
  <c r="CS282" i="1"/>
  <c r="BE282" i="1"/>
  <c r="CX282" i="1"/>
  <c r="DJ282" i="1"/>
  <c r="BD282" i="1"/>
  <c r="BH32" i="8"/>
  <c r="AJ37" i="8"/>
  <c r="EG281" i="1"/>
  <c r="Z281" i="1"/>
  <c r="BF275" i="1"/>
  <c r="BM275" i="1"/>
  <c r="AQ275" i="1"/>
  <c r="CN275" i="1"/>
  <c r="CG277" i="1"/>
  <c r="DS279" i="1"/>
  <c r="DP279" i="1"/>
  <c r="DT279" i="1"/>
  <c r="DO279" i="1"/>
  <c r="BV279" i="1"/>
  <c r="CH279" i="1"/>
  <c r="CD279" i="1"/>
  <c r="BZ279" i="1"/>
  <c r="CG279" i="1"/>
  <c r="CC279" i="1"/>
  <c r="BY279" i="1"/>
  <c r="DN279" i="1"/>
  <c r="DM279" i="1"/>
  <c r="CF279" i="1"/>
  <c r="CI279" i="1"/>
  <c r="CA279" i="1"/>
  <c r="BI279" i="1"/>
  <c r="BJ279" i="1"/>
  <c r="AY279" i="1"/>
  <c r="AX279" i="1"/>
  <c r="DB279" i="1"/>
  <c r="AJ279" i="1"/>
  <c r="AI279" i="1"/>
  <c r="BT279" i="1"/>
  <c r="BS279" i="1"/>
  <c r="AV279" i="1"/>
  <c r="BH279" i="1"/>
  <c r="AR279" i="1"/>
  <c r="BE279" i="1"/>
  <c r="DK279" i="1"/>
  <c r="CY279" i="1"/>
  <c r="BF279" i="1"/>
  <c r="CT279" i="1"/>
  <c r="DL279" i="1"/>
  <c r="DG279" i="1"/>
  <c r="BD279" i="1"/>
  <c r="DJ279" i="1"/>
  <c r="CN279" i="1"/>
  <c r="CO279" i="1"/>
  <c r="AO279" i="1"/>
  <c r="AS279" i="1"/>
  <c r="AJ282" i="1"/>
  <c r="DP282" i="1"/>
  <c r="DT282" i="1"/>
  <c r="DO282" i="1"/>
  <c r="DS282" i="1"/>
  <c r="CC282" i="1"/>
  <c r="CE282" i="1"/>
  <c r="DN282" i="1"/>
  <c r="DQ282" i="1"/>
  <c r="CG282" i="1"/>
  <c r="CI282" i="1"/>
  <c r="BZ282" i="1"/>
  <c r="CD282" i="1"/>
  <c r="CH282" i="1"/>
  <c r="BJ282" i="1"/>
  <c r="BK282" i="1"/>
  <c r="AS282" i="1"/>
  <c r="CN282" i="1"/>
  <c r="AV282" i="1"/>
  <c r="CY282" i="1"/>
  <c r="DL282" i="1"/>
  <c r="BW282" i="1"/>
  <c r="AH282" i="1"/>
  <c r="AX282" i="1"/>
  <c r="DE282" i="1"/>
  <c r="BV282" i="1"/>
  <c r="AR282" i="1"/>
  <c r="BU282" i="1"/>
  <c r="CV282" i="1"/>
  <c r="AT282" i="1"/>
  <c r="AW282" i="1"/>
  <c r="AI282" i="1"/>
  <c r="BP282" i="1"/>
  <c r="AU282" i="1"/>
  <c r="AQ282" i="1"/>
  <c r="DC282" i="1"/>
  <c r="BT282" i="1"/>
  <c r="AO282" i="1"/>
  <c r="BQ282" i="1"/>
  <c r="CP282" i="1"/>
  <c r="DS283" i="1"/>
  <c r="DP283" i="1"/>
  <c r="DT283" i="1"/>
  <c r="DO283" i="1"/>
  <c r="CN283" i="1"/>
  <c r="CH283" i="1"/>
  <c r="CD283" i="1"/>
  <c r="BZ283" i="1"/>
  <c r="CG283" i="1"/>
  <c r="CC283" i="1"/>
  <c r="BY283" i="1"/>
  <c r="DN283" i="1"/>
  <c r="DQ283" i="1"/>
  <c r="CJ283" i="1"/>
  <c r="CB283" i="1"/>
  <c r="CE283" i="1"/>
  <c r="BM283" i="1"/>
  <c r="BK283" i="1"/>
  <c r="BJ283" i="1"/>
  <c r="AY283" i="1"/>
  <c r="AX283" i="1"/>
  <c r="AJ283" i="1"/>
  <c r="AI283" i="1"/>
  <c r="DF283" i="1"/>
  <c r="BW283" i="1"/>
  <c r="AS283" i="1"/>
  <c r="BV283" i="1"/>
  <c r="CW283" i="1"/>
  <c r="DJ283" i="1"/>
  <c r="BD283" i="1"/>
  <c r="DG283" i="1"/>
  <c r="AO283" i="1"/>
  <c r="CS283" i="1"/>
  <c r="BR283" i="1"/>
  <c r="AP283" i="1"/>
  <c r="BU283" i="1"/>
  <c r="DD283" i="1"/>
  <c r="BS283" i="1"/>
  <c r="BT283" i="1"/>
  <c r="DI283" i="1"/>
  <c r="CX283" i="1"/>
  <c r="AU283" i="1"/>
  <c r="BX283" i="1"/>
  <c r="BI24" i="8"/>
  <c r="AE151" i="8"/>
  <c r="AH151" i="8"/>
  <c r="AU155" i="8"/>
  <c r="AE155" i="8"/>
  <c r="BI32" i="8"/>
  <c r="AY33" i="8"/>
  <c r="BI33" i="8"/>
  <c r="D158" i="8"/>
  <c r="BH33" i="8"/>
  <c r="AJ33" i="8"/>
  <c r="AF158" i="8"/>
  <c r="AH160" i="8"/>
  <c r="AU160" i="8"/>
  <c r="AR160" i="8"/>
  <c r="AJ160" i="8"/>
  <c r="AT160" i="8"/>
  <c r="AO160" i="8"/>
  <c r="AE160" i="8"/>
  <c r="AP160" i="8"/>
  <c r="AQ160" i="8"/>
  <c r="AI160" i="8"/>
  <c r="AG160" i="8"/>
  <c r="AF160" i="8"/>
  <c r="AY37" i="8"/>
  <c r="BI37" i="8"/>
  <c r="AX37" i="8"/>
  <c r="D162" i="8"/>
  <c r="AG168" i="8"/>
  <c r="AD168" i="8"/>
  <c r="AS168" i="8"/>
  <c r="AU168" i="8"/>
  <c r="AP168" i="8"/>
  <c r="AH168" i="8"/>
  <c r="AQ168" i="8"/>
  <c r="AT168" i="8"/>
  <c r="AF168" i="8"/>
  <c r="AJ168" i="8"/>
  <c r="BH45" i="8"/>
  <c r="AX45" i="8"/>
  <c r="AF172" i="8"/>
  <c r="AG172" i="8"/>
  <c r="AD172" i="8"/>
  <c r="AI172" i="8"/>
  <c r="AO172" i="8"/>
  <c r="AE172" i="8"/>
  <c r="AR172" i="8"/>
  <c r="AT268" i="1"/>
  <c r="A37" i="1"/>
  <c r="AT37" i="1"/>
  <c r="D277" i="1"/>
  <c r="A45" i="1"/>
  <c r="AT45" i="1"/>
  <c r="EY262" i="1"/>
  <c r="EY264" i="1"/>
  <c r="Z266" i="1"/>
  <c r="EY266" i="1"/>
  <c r="BU32" i="1"/>
  <c r="EY268" i="1"/>
  <c r="Z270" i="1"/>
  <c r="BU36" i="1"/>
  <c r="Z272" i="1"/>
  <c r="Z274" i="1"/>
  <c r="EG274" i="1"/>
  <c r="BU38" i="1"/>
  <c r="EY274" i="1"/>
  <c r="EY276" i="1"/>
  <c r="Z276" i="1"/>
  <c r="EG278" i="1"/>
  <c r="Z278" i="1"/>
  <c r="BU44" i="1"/>
  <c r="EG280" i="1"/>
  <c r="Z282" i="1"/>
  <c r="BU46" i="1"/>
  <c r="EG284" i="1"/>
  <c r="Z284" i="1"/>
  <c r="DO262" i="1"/>
  <c r="DS265" i="1"/>
  <c r="CJ265" i="1"/>
  <c r="CF265" i="1"/>
  <c r="AR162" i="8"/>
  <c r="AI168" i="8"/>
  <c r="AE168" i="8"/>
  <c r="AR168" i="8"/>
  <c r="DS267" i="1"/>
  <c r="AJ274" i="1"/>
  <c r="DR274" i="1"/>
  <c r="DS274" i="1"/>
  <c r="DR278" i="1"/>
  <c r="BI29" i="8"/>
  <c r="D154" i="8"/>
  <c r="AJ29" i="8"/>
  <c r="AO154" i="8"/>
  <c r="AS156" i="8"/>
  <c r="AP156" i="8"/>
  <c r="AO156" i="8"/>
  <c r="AU156" i="8"/>
  <c r="AE156" i="8"/>
  <c r="AF156" i="8"/>
  <c r="AQ156" i="8"/>
  <c r="AH156" i="8"/>
  <c r="AY44" i="8"/>
  <c r="BI44" i="8"/>
  <c r="BJ44" i="8" s="1"/>
  <c r="AX44" i="8"/>
  <c r="AJ44" i="8"/>
  <c r="AO171" i="8"/>
  <c r="AG171" i="8"/>
  <c r="AJ171" i="8"/>
  <c r="AH171" i="8"/>
  <c r="AF171" i="8"/>
  <c r="AD171" i="8"/>
  <c r="AT171" i="8"/>
  <c r="AU171" i="8"/>
  <c r="DS264" i="1"/>
  <c r="DN264" i="1"/>
  <c r="DM264" i="1"/>
  <c r="AE154" i="8" l="1"/>
  <c r="AJ35" i="8"/>
  <c r="CN268" i="1"/>
  <c r="BS268" i="1"/>
  <c r="AJ267" i="1"/>
  <c r="BZ268" i="1"/>
  <c r="DQ268" i="1"/>
  <c r="AH170" i="8"/>
  <c r="DF267" i="1"/>
  <c r="CV267" i="1"/>
  <c r="AI268" i="1"/>
  <c r="AW268" i="1"/>
  <c r="DQ267" i="1"/>
  <c r="AJ46" i="8"/>
  <c r="CW268" i="1"/>
  <c r="AI162" i="8"/>
  <c r="AR270" i="1"/>
  <c r="DE267" i="1"/>
  <c r="DB268" i="1"/>
  <c r="AZ45" i="8"/>
  <c r="BH43" i="8"/>
  <c r="AX47" i="8"/>
  <c r="BT272" i="1"/>
  <c r="AP267" i="1"/>
  <c r="CH268" i="1"/>
  <c r="DM267" i="1"/>
  <c r="AQ157" i="8"/>
  <c r="D163" i="8"/>
  <c r="DM268" i="1"/>
  <c r="D156" i="8"/>
  <c r="DN267" i="1"/>
  <c r="BH268" i="1"/>
  <c r="BM268" i="1"/>
  <c r="DO268" i="1"/>
  <c r="AJ170" i="8"/>
  <c r="AO162" i="8"/>
  <c r="AP158" i="8"/>
  <c r="AR272" i="1"/>
  <c r="BW267" i="1"/>
  <c r="AH267" i="1"/>
  <c r="DJ268" i="1"/>
  <c r="CT267" i="1"/>
  <c r="BG267" i="1"/>
  <c r="BK267" i="1"/>
  <c r="BM267" i="1"/>
  <c r="CB267" i="1"/>
  <c r="AU169" i="8"/>
  <c r="N21" i="6"/>
  <c r="AG161" i="8"/>
  <c r="AP169" i="8"/>
  <c r="DF268" i="1"/>
  <c r="AX268" i="1"/>
  <c r="CJ268" i="1"/>
  <c r="CI271" i="1"/>
  <c r="AO268" i="1"/>
  <c r="DG267" i="1"/>
  <c r="CP268" i="1"/>
  <c r="BH267" i="1"/>
  <c r="AR267" i="1"/>
  <c r="AY267" i="1"/>
  <c r="CJ272" i="1"/>
  <c r="BZ267" i="1"/>
  <c r="D167" i="8"/>
  <c r="AU158" i="8"/>
  <c r="AD275" i="1"/>
  <c r="AD279" i="1"/>
  <c r="AF149" i="8"/>
  <c r="AT149" i="8"/>
  <c r="AY34" i="8"/>
  <c r="AX34" i="8"/>
  <c r="AJ34" i="8"/>
  <c r="AY38" i="8"/>
  <c r="AX38" i="8"/>
  <c r="C27" i="14"/>
  <c r="EA27" i="14" s="1"/>
  <c r="EN27" i="1"/>
  <c r="EO27" i="1"/>
  <c r="C31" i="14"/>
  <c r="EA31" i="14" s="1"/>
  <c r="EN31" i="1"/>
  <c r="EO31" i="1"/>
  <c r="C35" i="14"/>
  <c r="EB35" i="14" s="1"/>
  <c r="EN35" i="1"/>
  <c r="EO35" i="1"/>
  <c r="EN39" i="1"/>
  <c r="EO39" i="1"/>
  <c r="A39" i="1"/>
  <c r="AT39" i="1"/>
  <c r="EN43" i="1"/>
  <c r="EO43" i="1"/>
  <c r="C47" i="14"/>
  <c r="EB47" i="14" s="1"/>
  <c r="EN47" i="1"/>
  <c r="EO47" i="1"/>
  <c r="AX46" i="8"/>
  <c r="D283" i="1"/>
  <c r="D275" i="1"/>
  <c r="A35" i="1"/>
  <c r="AD269" i="1"/>
  <c r="AT161" i="8"/>
  <c r="BC270" i="1"/>
  <c r="CF270" i="1"/>
  <c r="CV270" i="1"/>
  <c r="DG270" i="1"/>
  <c r="BW270" i="1"/>
  <c r="BD270" i="1"/>
  <c r="AV270" i="1"/>
  <c r="BU270" i="1"/>
  <c r="AY270" i="1"/>
  <c r="AQ270" i="1"/>
  <c r="AO270" i="1"/>
  <c r="AU150" i="8"/>
  <c r="AG150" i="8"/>
  <c r="D160" i="8"/>
  <c r="BH35" i="8"/>
  <c r="BI35" i="8"/>
  <c r="AX35" i="8"/>
  <c r="AZ35" i="8" s="1"/>
  <c r="AY43" i="8"/>
  <c r="AJ43" i="8"/>
  <c r="D168" i="8"/>
  <c r="BI47" i="8"/>
  <c r="BH47" i="8"/>
  <c r="BC268" i="1"/>
  <c r="BK268" i="1"/>
  <c r="AQ268" i="1"/>
  <c r="CV268" i="1"/>
  <c r="BP268" i="1"/>
  <c r="AU268" i="1"/>
  <c r="CY268" i="1"/>
  <c r="BW268" i="1"/>
  <c r="DH268" i="1"/>
  <c r="DT268" i="1"/>
  <c r="CB268" i="1"/>
  <c r="DN268" i="1"/>
  <c r="CG268" i="1"/>
  <c r="BI268" i="1"/>
  <c r="AK268" i="1"/>
  <c r="BD268" i="1"/>
  <c r="BF268" i="1"/>
  <c r="BR268" i="1"/>
  <c r="BE268" i="1"/>
  <c r="CT268" i="1"/>
  <c r="CC268" i="1"/>
  <c r="DI268" i="1"/>
  <c r="CO268" i="1"/>
  <c r="BQ268" i="1"/>
  <c r="DE268" i="1"/>
  <c r="AS268" i="1"/>
  <c r="BX268" i="1"/>
  <c r="DC268" i="1"/>
  <c r="DP268" i="1"/>
  <c r="CF268" i="1"/>
  <c r="CA268" i="1"/>
  <c r="CD268" i="1"/>
  <c r="BJ268" i="1"/>
  <c r="AY268" i="1"/>
  <c r="AH268" i="1"/>
  <c r="BU268" i="1"/>
  <c r="CU268" i="1"/>
  <c r="DK268" i="1"/>
  <c r="DD268" i="1"/>
  <c r="C28" i="14"/>
  <c r="EA28" i="14" s="1"/>
  <c r="EO28" i="1"/>
  <c r="EN28" i="1"/>
  <c r="EO32" i="1"/>
  <c r="EN32" i="1"/>
  <c r="A32" i="1"/>
  <c r="C36" i="14"/>
  <c r="A36" i="14" s="1"/>
  <c r="EO36" i="1"/>
  <c r="EN36" i="1"/>
  <c r="C40" i="14"/>
  <c r="EN40" i="14" s="1"/>
  <c r="EO40" i="1"/>
  <c r="EN40" i="1"/>
  <c r="D276" i="1"/>
  <c r="AT40" i="1"/>
  <c r="EA40" i="1"/>
  <c r="EO44" i="1"/>
  <c r="EN44" i="1"/>
  <c r="D280" i="1"/>
  <c r="C48" i="14"/>
  <c r="EN48" i="14" s="1"/>
  <c r="EO48" i="1"/>
  <c r="EN48" i="1"/>
  <c r="AE169" i="8"/>
  <c r="BI31" i="8"/>
  <c r="DO267" i="1"/>
  <c r="DL268" i="1"/>
  <c r="BG268" i="1"/>
  <c r="DG268" i="1"/>
  <c r="BL268" i="1"/>
  <c r="DS268" i="1"/>
  <c r="AU170" i="8"/>
  <c r="AF162" i="8"/>
  <c r="AQ158" i="8"/>
  <c r="AG158" i="8"/>
  <c r="AG169" i="8"/>
  <c r="AJ169" i="8"/>
  <c r="BH31" i="8"/>
  <c r="DN270" i="1"/>
  <c r="DR267" i="1"/>
  <c r="CS268" i="1"/>
  <c r="AP268" i="1"/>
  <c r="AV268" i="1"/>
  <c r="BY268" i="1"/>
  <c r="CI268" i="1"/>
  <c r="AY47" i="8"/>
  <c r="AZ47" i="8" s="1"/>
  <c r="AF170" i="8"/>
  <c r="AP162" i="8"/>
  <c r="AO158" i="8"/>
  <c r="AZ33" i="8"/>
  <c r="AY30" i="8"/>
  <c r="BT268" i="1"/>
  <c r="BH38" i="8"/>
  <c r="BJ38" i="8" s="1"/>
  <c r="DL270" i="1"/>
  <c r="D279" i="1"/>
  <c r="BR267" i="1"/>
  <c r="DD267" i="1"/>
  <c r="AR268" i="1"/>
  <c r="CY267" i="1"/>
  <c r="DC267" i="1"/>
  <c r="CY270" i="1"/>
  <c r="A40" i="1"/>
  <c r="BJ267" i="1"/>
  <c r="AP270" i="1"/>
  <c r="CE267" i="1"/>
  <c r="AF161" i="8"/>
  <c r="AE158" i="8"/>
  <c r="BH34" i="8"/>
  <c r="AD161" i="8"/>
  <c r="N13" i="6"/>
  <c r="N16" i="6" s="1"/>
  <c r="C19" i="6" s="1"/>
  <c r="M13" i="6"/>
  <c r="M16" i="6" s="1"/>
  <c r="G19" i="6" s="1"/>
  <c r="AE153" i="8"/>
  <c r="AU153" i="8"/>
  <c r="AH157" i="8"/>
  <c r="AI157" i="8"/>
  <c r="AO161" i="8"/>
  <c r="AU161" i="8"/>
  <c r="AH161" i="8"/>
  <c r="AQ161" i="8"/>
  <c r="AS161" i="8"/>
  <c r="AJ161" i="8"/>
  <c r="AE165" i="8"/>
  <c r="AI165" i="8"/>
  <c r="AG165" i="8"/>
  <c r="AS165" i="8"/>
  <c r="AI169" i="8"/>
  <c r="AQ169" i="8"/>
  <c r="AO169" i="8"/>
  <c r="AT165" i="8"/>
  <c r="O20" i="6"/>
  <c r="N20" i="6"/>
  <c r="P36" i="8"/>
  <c r="AT36" i="8" s="1"/>
  <c r="BC271" i="1"/>
  <c r="BS271" i="1"/>
  <c r="BQ271" i="1"/>
  <c r="CV271" i="1"/>
  <c r="BC272" i="1"/>
  <c r="BL272" i="1"/>
  <c r="DI272" i="1"/>
  <c r="DH272" i="1"/>
  <c r="BW272" i="1"/>
  <c r="DK272" i="1"/>
  <c r="BF272" i="1"/>
  <c r="CO272" i="1"/>
  <c r="AF154" i="8"/>
  <c r="AR154" i="8"/>
  <c r="AT154" i="8"/>
  <c r="AJ158" i="8"/>
  <c r="AI158" i="8"/>
  <c r="AD158" i="8"/>
  <c r="AT158" i="8"/>
  <c r="AR158" i="8"/>
  <c r="AS158" i="8"/>
  <c r="AE162" i="8"/>
  <c r="AU162" i="8"/>
  <c r="AJ162" i="8"/>
  <c r="AS162" i="8"/>
  <c r="AH162" i="8"/>
  <c r="AT162" i="8"/>
  <c r="AT170" i="8"/>
  <c r="AQ170" i="8"/>
  <c r="AP170" i="8"/>
  <c r="AR170" i="8"/>
  <c r="AD170" i="8"/>
  <c r="AE170" i="8"/>
  <c r="AI170" i="8"/>
  <c r="AO170" i="8"/>
  <c r="BC267" i="1"/>
  <c r="DT267" i="1"/>
  <c r="BQ267" i="1"/>
  <c r="CD267" i="1"/>
  <c r="CG267" i="1"/>
  <c r="BY267" i="1"/>
  <c r="AI267" i="1"/>
  <c r="CW267" i="1"/>
  <c r="AO267" i="1"/>
  <c r="CN267" i="1"/>
  <c r="BD267" i="1"/>
  <c r="CO267" i="1"/>
  <c r="BU267" i="1"/>
  <c r="AT267" i="1"/>
  <c r="DK267" i="1"/>
  <c r="DJ267" i="1"/>
  <c r="AQ267" i="1"/>
  <c r="BT267" i="1"/>
  <c r="CS267" i="1"/>
  <c r="DP267" i="1"/>
  <c r="CF267" i="1"/>
  <c r="CI267" i="1"/>
  <c r="CA267" i="1"/>
  <c r="BL267" i="1"/>
  <c r="AW267" i="1"/>
  <c r="BP267" i="1"/>
  <c r="AU267" i="1"/>
  <c r="BS267" i="1"/>
  <c r="DB267" i="1"/>
  <c r="DH267" i="1"/>
  <c r="BX267" i="1"/>
  <c r="BV267" i="1"/>
  <c r="DL267" i="1"/>
  <c r="BE267" i="1"/>
  <c r="EO26" i="1"/>
  <c r="EN26" i="1"/>
  <c r="DR268" i="1"/>
  <c r="AH169" i="8"/>
  <c r="AG154" i="8"/>
  <c r="DM270" i="1"/>
  <c r="AQ162" i="8"/>
  <c r="EA39" i="1"/>
  <c r="CE268" i="1"/>
  <c r="D172" i="8"/>
  <c r="AD162" i="8"/>
  <c r="DT271" i="1"/>
  <c r="CX268" i="1"/>
  <c r="AS170" i="8"/>
  <c r="AJ38" i="8"/>
  <c r="AO272" i="1"/>
  <c r="CX267" i="1"/>
  <c r="AS267" i="1"/>
  <c r="AV267" i="1"/>
  <c r="CP267" i="1"/>
  <c r="BV268" i="1"/>
  <c r="EA43" i="1"/>
  <c r="CU267" i="1"/>
  <c r="AT43" i="1"/>
  <c r="AK267" i="1"/>
  <c r="BF267" i="1"/>
  <c r="AX267" i="1"/>
  <c r="D284" i="1"/>
  <c r="CW272" i="1"/>
  <c r="BI272" i="1"/>
  <c r="BI267" i="1"/>
  <c r="CB272" i="1"/>
  <c r="CC267" i="1"/>
  <c r="CH267" i="1"/>
  <c r="AI161" i="8"/>
  <c r="AX43" i="8"/>
  <c r="AX31" i="8"/>
  <c r="AZ31" i="8" s="1"/>
  <c r="D159" i="8"/>
  <c r="AR161" i="8"/>
  <c r="AP161" i="8"/>
  <c r="AX172" i="8"/>
  <c r="AZ36" i="8"/>
  <c r="G29" i="14"/>
  <c r="CA258" i="14" s="1"/>
  <c r="BC265" i="1"/>
  <c r="C25" i="14"/>
  <c r="A25" i="14" s="1"/>
  <c r="EN25" i="1"/>
  <c r="EO25" i="1"/>
  <c r="C30" i="14"/>
  <c r="D259" i="14" s="1"/>
  <c r="EO30" i="1"/>
  <c r="EN30" i="1"/>
  <c r="C34" i="14"/>
  <c r="D263" i="14" s="1"/>
  <c r="EO34" i="1"/>
  <c r="EN34" i="1"/>
  <c r="EO38" i="1"/>
  <c r="EN38" i="1"/>
  <c r="C42" i="14"/>
  <c r="EB42" i="14" s="1"/>
  <c r="EO42" i="1"/>
  <c r="EN42" i="1"/>
  <c r="EO46" i="1"/>
  <c r="EN46" i="1"/>
  <c r="C29" i="14"/>
  <c r="AT29" i="14" s="1"/>
  <c r="EN29" i="1"/>
  <c r="EO29" i="1"/>
  <c r="C33" i="14"/>
  <c r="EN33" i="14" s="1"/>
  <c r="EN33" i="1"/>
  <c r="EO33" i="1"/>
  <c r="C37" i="14"/>
  <c r="D266" i="14" s="1"/>
  <c r="EN37" i="1"/>
  <c r="EO37" i="1"/>
  <c r="EN41" i="1"/>
  <c r="EO41" i="1"/>
  <c r="C45" i="14"/>
  <c r="D274" i="14" s="1"/>
  <c r="EN45" i="1"/>
  <c r="EO45" i="1"/>
  <c r="BB273" i="1"/>
  <c r="G37" i="14"/>
  <c r="EB28" i="14"/>
  <c r="AT36" i="14"/>
  <c r="AT44" i="1"/>
  <c r="C44" i="14"/>
  <c r="BF24" i="8"/>
  <c r="BF29" i="8"/>
  <c r="BF34" i="8"/>
  <c r="AD240" i="1"/>
  <c r="BB275" i="1"/>
  <c r="G39" i="14"/>
  <c r="BB277" i="1"/>
  <c r="G41" i="14"/>
  <c r="BB279" i="1"/>
  <c r="G43" i="14"/>
  <c r="BB281" i="1"/>
  <c r="G45" i="14"/>
  <c r="BB283" i="1"/>
  <c r="G47" i="14"/>
  <c r="BB267" i="1"/>
  <c r="G31" i="14"/>
  <c r="D258" i="14"/>
  <c r="EO37" i="14"/>
  <c r="AM156" i="8"/>
  <c r="EO30" i="14"/>
  <c r="C38" i="14"/>
  <c r="EB46" i="1"/>
  <c r="EC46" i="1" s="1"/>
  <c r="ED46" i="1" s="1"/>
  <c r="Q282" i="1" s="1"/>
  <c r="C46" i="14"/>
  <c r="BF32" i="8"/>
  <c r="BF37" i="8"/>
  <c r="BB270" i="1"/>
  <c r="G34" i="14"/>
  <c r="BB272" i="1"/>
  <c r="G36" i="14"/>
  <c r="BB263" i="1"/>
  <c r="G27" i="14"/>
  <c r="AH258" i="14"/>
  <c r="CW258" i="14"/>
  <c r="AX258" i="14"/>
  <c r="AQ258" i="14"/>
  <c r="DF258" i="14"/>
  <c r="AH27" i="1"/>
  <c r="F11" i="14"/>
  <c r="AT31" i="14"/>
  <c r="EB39" i="1"/>
  <c r="C39" i="14"/>
  <c r="AT47" i="14"/>
  <c r="AX156" i="8"/>
  <c r="CD261" i="1"/>
  <c r="G25" i="14"/>
  <c r="AH26" i="1"/>
  <c r="F10" i="14"/>
  <c r="C32" i="14"/>
  <c r="AT40" i="14"/>
  <c r="A40" i="14"/>
  <c r="EB48" i="14"/>
  <c r="BF28" i="8"/>
  <c r="BF30" i="8"/>
  <c r="BB274" i="1"/>
  <c r="G38" i="14"/>
  <c r="BB276" i="1"/>
  <c r="G40" i="14"/>
  <c r="BB278" i="1"/>
  <c r="G42" i="14"/>
  <c r="BB280" i="1"/>
  <c r="G44" i="14"/>
  <c r="BB282" i="1"/>
  <c r="G46" i="14"/>
  <c r="BB284" i="1"/>
  <c r="G48" i="14"/>
  <c r="BB268" i="1"/>
  <c r="G32" i="14"/>
  <c r="EB26" i="1"/>
  <c r="C26" i="14"/>
  <c r="C24" i="14"/>
  <c r="AT24" i="14" s="1"/>
  <c r="EO24" i="1"/>
  <c r="EN24" i="1"/>
  <c r="A33" i="14"/>
  <c r="EB41" i="1"/>
  <c r="C41" i="14"/>
  <c r="BB269" i="1"/>
  <c r="G33" i="14"/>
  <c r="D271" i="14"/>
  <c r="AX167" i="8"/>
  <c r="BF26" i="8"/>
  <c r="BF36" i="8"/>
  <c r="BB271" i="1"/>
  <c r="G35" i="14"/>
  <c r="BU262" i="1"/>
  <c r="G26" i="14"/>
  <c r="BB264" i="1"/>
  <c r="G28" i="14"/>
  <c r="BB266" i="1"/>
  <c r="G30" i="14"/>
  <c r="EN35" i="14"/>
  <c r="EB43" i="1"/>
  <c r="C43" i="14"/>
  <c r="AH25" i="1"/>
  <c r="F8" i="14"/>
  <c r="Z260" i="1"/>
  <c r="G24" i="14"/>
  <c r="F192" i="1"/>
  <c r="S260" i="14"/>
  <c r="EH30" i="14"/>
  <c r="EK30" i="14" s="1"/>
  <c r="E261" i="14"/>
  <c r="EB35" i="1"/>
  <c r="EB47" i="1"/>
  <c r="DR264" i="1"/>
  <c r="D271" i="1"/>
  <c r="BP275" i="1"/>
  <c r="DQ275" i="1"/>
  <c r="CY271" i="1"/>
  <c r="BY271" i="1"/>
  <c r="DH271" i="1"/>
  <c r="EA32" i="1"/>
  <c r="CX278" i="1"/>
  <c r="DD278" i="1"/>
  <c r="AT278" i="1"/>
  <c r="EA47" i="1"/>
  <c r="CV264" i="1"/>
  <c r="DK264" i="1"/>
  <c r="BF264" i="1"/>
  <c r="CP264" i="1"/>
  <c r="AT41" i="1"/>
  <c r="AQ264" i="1"/>
  <c r="BS264" i="1"/>
  <c r="BQ264" i="1"/>
  <c r="CW271" i="1"/>
  <c r="DB264" i="1"/>
  <c r="AK275" i="1"/>
  <c r="AK264" i="1"/>
  <c r="AU278" i="1"/>
  <c r="DE278" i="1"/>
  <c r="DI278" i="1"/>
  <c r="BW278" i="1"/>
  <c r="AO278" i="1"/>
  <c r="AV278" i="1"/>
  <c r="CF278" i="1"/>
  <c r="CI264" i="1"/>
  <c r="CJ264" i="1"/>
  <c r="CA275" i="1"/>
  <c r="DP278" i="1"/>
  <c r="D268" i="1"/>
  <c r="EB36" i="1"/>
  <c r="EB42" i="1"/>
  <c r="AT48" i="1"/>
  <c r="EB48" i="1"/>
  <c r="BG275" i="1"/>
  <c r="CG275" i="1"/>
  <c r="DE271" i="1"/>
  <c r="CD271" i="1"/>
  <c r="AO275" i="1"/>
  <c r="DF271" i="1"/>
  <c r="A47" i="1"/>
  <c r="CO278" i="1"/>
  <c r="BE278" i="1"/>
  <c r="BG278" i="1"/>
  <c r="CN278" i="1"/>
  <c r="AU264" i="1"/>
  <c r="DL264" i="1"/>
  <c r="BD264" i="1"/>
  <c r="AT32" i="1"/>
  <c r="CT275" i="1"/>
  <c r="CX264" i="1"/>
  <c r="AS264" i="1"/>
  <c r="F195" i="1"/>
  <c r="DE264" i="1"/>
  <c r="AK271" i="1"/>
  <c r="BU264" i="1"/>
  <c r="AI264" i="1"/>
  <c r="AK278" i="1"/>
  <c r="BP278" i="1"/>
  <c r="AR278" i="1"/>
  <c r="AX278" i="1"/>
  <c r="BL278" i="1"/>
  <c r="CD278" i="1"/>
  <c r="BY264" i="1"/>
  <c r="BZ264" i="1"/>
  <c r="DC264" i="1"/>
  <c r="CI260" i="1"/>
  <c r="EB31" i="1"/>
  <c r="EB37" i="1"/>
  <c r="EC37" i="1" s="1"/>
  <c r="ED37" i="1" s="1"/>
  <c r="Q273" i="1" s="1"/>
  <c r="O166" i="8"/>
  <c r="CB264" i="1"/>
  <c r="CA264" i="1"/>
  <c r="AT47" i="1"/>
  <c r="AS275" i="1"/>
  <c r="DS275" i="1"/>
  <c r="AP271" i="1"/>
  <c r="BT269" i="1"/>
  <c r="BH275" i="1"/>
  <c r="AS278" i="1"/>
  <c r="DK278" i="1"/>
  <c r="AQ278" i="1"/>
  <c r="AH278" i="1"/>
  <c r="DH264" i="1"/>
  <c r="CW264" i="1"/>
  <c r="BE264" i="1"/>
  <c r="DD264" i="1"/>
  <c r="BH264" i="1"/>
  <c r="CT264" i="1"/>
  <c r="AH264" i="1"/>
  <c r="AH29" i="1"/>
  <c r="AI278" i="1"/>
  <c r="BR264" i="1"/>
  <c r="AW278" i="1"/>
  <c r="BT278" i="1"/>
  <c r="AY269" i="1"/>
  <c r="DH278" i="1"/>
  <c r="BK278" i="1"/>
  <c r="BK264" i="1"/>
  <c r="BS278" i="1"/>
  <c r="BZ278" i="1"/>
  <c r="CC264" i="1"/>
  <c r="CD264" i="1"/>
  <c r="CI278" i="1"/>
  <c r="CP278" i="1"/>
  <c r="BY278" i="1"/>
  <c r="DS278" i="1"/>
  <c r="DO264" i="1"/>
  <c r="EB33" i="1"/>
  <c r="EB45" i="1"/>
  <c r="EC45" i="1" s="1"/>
  <c r="ED45" i="1" s="1"/>
  <c r="Q281" i="1" s="1"/>
  <c r="EB32" i="1"/>
  <c r="EB38" i="1"/>
  <c r="EB44" i="1"/>
  <c r="DN278" i="1"/>
  <c r="DQ264" i="1"/>
  <c r="AJ278" i="1"/>
  <c r="A41" i="1"/>
  <c r="AP275" i="1"/>
  <c r="AX275" i="1"/>
  <c r="DT273" i="1"/>
  <c r="AY271" i="1"/>
  <c r="BD275" i="1"/>
  <c r="EA35" i="1"/>
  <c r="BD278" i="1"/>
  <c r="BH278" i="1"/>
  <c r="DG278" i="1"/>
  <c r="BR278" i="1"/>
  <c r="BG264" i="1"/>
  <c r="BP264" i="1"/>
  <c r="DG264" i="1"/>
  <c r="DI264" i="1"/>
  <c r="AO264" i="1"/>
  <c r="DF264" i="1"/>
  <c r="AY264" i="1"/>
  <c r="BQ278" i="1"/>
  <c r="CW278" i="1"/>
  <c r="BI278" i="1"/>
  <c r="BI264" i="1"/>
  <c r="BV278" i="1"/>
  <c r="CJ278" i="1"/>
  <c r="CE264" i="1"/>
  <c r="CF264" i="1"/>
  <c r="CE278" i="1"/>
  <c r="DQ278" i="1"/>
  <c r="DT264" i="1"/>
  <c r="EB34" i="1"/>
  <c r="EB40" i="1"/>
  <c r="AD270" i="1"/>
  <c r="AJ150" i="8"/>
  <c r="AD277" i="1"/>
  <c r="AD271" i="1"/>
  <c r="AD264" i="1"/>
  <c r="AD262" i="1"/>
  <c r="AD261" i="1"/>
  <c r="AD281" i="1"/>
  <c r="BG260" i="1"/>
  <c r="AD268" i="1"/>
  <c r="N130" i="1"/>
  <c r="AD263" i="1"/>
  <c r="AD278" i="1"/>
  <c r="B252" i="1"/>
  <c r="E260" i="1" s="1"/>
  <c r="E261" i="1" s="1"/>
  <c r="AT33" i="8"/>
  <c r="AD273" i="1"/>
  <c r="AD272" i="1"/>
  <c r="AD265" i="1"/>
  <c r="AD260" i="1"/>
  <c r="AD267" i="1"/>
  <c r="AD274" i="1"/>
  <c r="AD266" i="1"/>
  <c r="AD280" i="1"/>
  <c r="AD283" i="1"/>
  <c r="AD282" i="1"/>
  <c r="AD284" i="1"/>
  <c r="AD276" i="1"/>
  <c r="AA10" i="8"/>
  <c r="AA8" i="8"/>
  <c r="AA11" i="8"/>
  <c r="AE149" i="8"/>
  <c r="AS149" i="8"/>
  <c r="BQ266" i="1"/>
  <c r="CO266" i="1"/>
  <c r="DC266" i="1"/>
  <c r="BE266" i="1"/>
  <c r="CV266" i="1"/>
  <c r="AS266" i="1"/>
  <c r="DD266" i="1"/>
  <c r="AR266" i="1"/>
  <c r="AI266" i="1"/>
  <c r="AX266" i="1"/>
  <c r="BI266" i="1"/>
  <c r="CC266" i="1"/>
  <c r="CD266" i="1"/>
  <c r="AU149" i="8"/>
  <c r="CW266" i="1"/>
  <c r="AT266" i="1"/>
  <c r="CP266" i="1"/>
  <c r="AH266" i="1"/>
  <c r="DE266" i="1"/>
  <c r="BV266" i="1"/>
  <c r="BL266" i="1"/>
  <c r="BJ266" i="1"/>
  <c r="CE266" i="1"/>
  <c r="CF266" i="1"/>
  <c r="DT266" i="1"/>
  <c r="AJ149" i="8"/>
  <c r="AP149" i="8"/>
  <c r="CN266" i="1"/>
  <c r="CY266" i="1"/>
  <c r="AQ149" i="8"/>
  <c r="AD149" i="8"/>
  <c r="CX266" i="1"/>
  <c r="DI266" i="1"/>
  <c r="CS266" i="1"/>
  <c r="AO266" i="1"/>
  <c r="BW266" i="1"/>
  <c r="DK266" i="1"/>
  <c r="BG266" i="1"/>
  <c r="CG266" i="1"/>
  <c r="CH266" i="1"/>
  <c r="DQ266" i="1"/>
  <c r="DR266" i="1"/>
  <c r="AH149" i="8"/>
  <c r="DH266" i="1"/>
  <c r="BX266" i="1"/>
  <c r="DJ266" i="1"/>
  <c r="BS266" i="1"/>
  <c r="CU266" i="1"/>
  <c r="BF266" i="1"/>
  <c r="AJ266" i="1"/>
  <c r="CI266" i="1"/>
  <c r="CJ266" i="1"/>
  <c r="DO266" i="1"/>
  <c r="DP266" i="1"/>
  <c r="DP263" i="1"/>
  <c r="AI149" i="8"/>
  <c r="AG149" i="8"/>
  <c r="AR149" i="8"/>
  <c r="AV266" i="1"/>
  <c r="BT266" i="1"/>
  <c r="DF266" i="1"/>
  <c r="BH266" i="1"/>
  <c r="AP266" i="1"/>
  <c r="DL266" i="1"/>
  <c r="AY266" i="1"/>
  <c r="BM266" i="1"/>
  <c r="BY266" i="1"/>
  <c r="BZ266" i="1"/>
  <c r="AQ266" i="1"/>
  <c r="DM266" i="1"/>
  <c r="DN266" i="1"/>
  <c r="DE262" i="1"/>
  <c r="CV262" i="1"/>
  <c r="BJ262" i="1"/>
  <c r="CI262" i="1"/>
  <c r="DC262" i="1"/>
  <c r="AT262" i="1"/>
  <c r="CU262" i="1"/>
  <c r="DN261" i="1"/>
  <c r="CX261" i="1"/>
  <c r="DI261" i="1"/>
  <c r="DP261" i="1"/>
  <c r="AS261" i="1"/>
  <c r="BI261" i="1"/>
  <c r="CF261" i="1"/>
  <c r="CA261" i="1"/>
  <c r="BD261" i="1"/>
  <c r="BY261" i="1"/>
  <c r="DJ261" i="1"/>
  <c r="EB30" i="1"/>
  <c r="BJ29" i="8"/>
  <c r="EB29" i="1"/>
  <c r="A29" i="1"/>
  <c r="AT29" i="1"/>
  <c r="BH27" i="8"/>
  <c r="AY24" i="8"/>
  <c r="AJ24" i="8"/>
  <c r="BH24" i="8"/>
  <c r="BJ24" i="8" s="1"/>
  <c r="EB28" i="1"/>
  <c r="EB27" i="1"/>
  <c r="AX24" i="8"/>
  <c r="EB25" i="1"/>
  <c r="A24" i="1"/>
  <c r="EB24" i="1"/>
  <c r="O163" i="8"/>
  <c r="O167" i="8"/>
  <c r="CJ281" i="1"/>
  <c r="DC277" i="1"/>
  <c r="DN273" i="1"/>
  <c r="BP269" i="1"/>
  <c r="BG281" i="1"/>
  <c r="AT42" i="1"/>
  <c r="AJ269" i="1"/>
  <c r="AV284" i="1"/>
  <c r="AA8" i="1"/>
  <c r="CJ277" i="1"/>
  <c r="CV269" i="1"/>
  <c r="D266" i="1"/>
  <c r="DE281" i="1"/>
  <c r="DL273" i="1"/>
  <c r="AK269" i="1"/>
  <c r="AA10" i="1"/>
  <c r="EA36" i="1"/>
  <c r="CN269" i="1"/>
  <c r="CX269" i="1"/>
  <c r="EA48" i="1"/>
  <c r="EC48" i="1" s="1"/>
  <c r="ED48" i="1" s="1"/>
  <c r="Q284" i="1" s="1"/>
  <c r="AJ284" i="1"/>
  <c r="BE277" i="1"/>
  <c r="AP273" i="1"/>
  <c r="DM269" i="1"/>
  <c r="AH281" i="1"/>
  <c r="EA42" i="1"/>
  <c r="A42" i="1"/>
  <c r="EP42" i="1"/>
  <c r="G278" i="1" s="1"/>
  <c r="DH273" i="1"/>
  <c r="AS277" i="1"/>
  <c r="AI273" i="1"/>
  <c r="BQ281" i="1"/>
  <c r="A48" i="1"/>
  <c r="AT277" i="1"/>
  <c r="BI284" i="1"/>
  <c r="BI270" i="1"/>
  <c r="CG278" i="1"/>
  <c r="DM278" i="1"/>
  <c r="DT270" i="1"/>
  <c r="CE276" i="1"/>
  <c r="CG276" i="1"/>
  <c r="DS276" i="1"/>
  <c r="P29" i="8"/>
  <c r="O154" i="8" s="1"/>
  <c r="DO276" i="1"/>
  <c r="AT37" i="8"/>
  <c r="DN276" i="1"/>
  <c r="O155" i="8"/>
  <c r="DM283" i="1"/>
  <c r="DR280" i="1"/>
  <c r="DN280" i="1"/>
  <c r="AT35" i="1"/>
  <c r="AE152" i="8"/>
  <c r="AP154" i="8"/>
  <c r="CC261" i="1"/>
  <c r="BF261" i="1"/>
  <c r="CS261" i="1"/>
  <c r="AD152" i="8"/>
  <c r="CP261" i="1"/>
  <c r="DH261" i="1"/>
  <c r="CT261" i="1"/>
  <c r="BK261" i="1"/>
  <c r="DT261" i="1"/>
  <c r="AH154" i="8"/>
  <c r="BF262" i="1"/>
  <c r="BB262" i="1"/>
  <c r="CH265" i="1"/>
  <c r="BB265" i="1"/>
  <c r="DQ261" i="1"/>
  <c r="BR261" i="1"/>
  <c r="AI261" i="1"/>
  <c r="CW261" i="1"/>
  <c r="AD154" i="8"/>
  <c r="AQ152" i="8"/>
  <c r="DS261" i="1"/>
  <c r="BB261" i="1"/>
  <c r="AU154" i="8"/>
  <c r="CV261" i="1"/>
  <c r="AR152" i="8"/>
  <c r="AS154" i="8"/>
  <c r="DM261" i="1"/>
  <c r="BH261" i="1"/>
  <c r="A30" i="1"/>
  <c r="AS152" i="8"/>
  <c r="AF152" i="8"/>
  <c r="BI25" i="8"/>
  <c r="BJ25" i="8" s="1"/>
  <c r="AT30" i="1"/>
  <c r="CY261" i="1"/>
  <c r="CO261" i="1"/>
  <c r="CB261" i="1"/>
  <c r="AJ154" i="8"/>
  <c r="CI261" i="1"/>
  <c r="DR261" i="1"/>
  <c r="DE261" i="1"/>
  <c r="AH152" i="8"/>
  <c r="AI152" i="8"/>
  <c r="EA30" i="1"/>
  <c r="AO152" i="8"/>
  <c r="AJ152" i="8"/>
  <c r="AH261" i="1"/>
  <c r="AJ261" i="1"/>
  <c r="BW261" i="1"/>
  <c r="BP261" i="1"/>
  <c r="BL261" i="1"/>
  <c r="CE261" i="1"/>
  <c r="AI154" i="8"/>
  <c r="AT27" i="8"/>
  <c r="AT31" i="8"/>
  <c r="P26" i="8"/>
  <c r="BV265" i="1"/>
  <c r="BT265" i="1"/>
  <c r="AV265" i="1"/>
  <c r="DG265" i="1"/>
  <c r="AK265" i="1"/>
  <c r="CE265" i="1"/>
  <c r="DE265" i="1"/>
  <c r="BQ265" i="1"/>
  <c r="AS265" i="1"/>
  <c r="BX265" i="1"/>
  <c r="AP265" i="1"/>
  <c r="AI265" i="1"/>
  <c r="AJ265" i="1"/>
  <c r="AX265" i="1"/>
  <c r="BD265" i="1"/>
  <c r="AU265" i="1"/>
  <c r="AO265" i="1"/>
  <c r="AQ265" i="1"/>
  <c r="DI265" i="1"/>
  <c r="AT265" i="1"/>
  <c r="BS265" i="1"/>
  <c r="CW265" i="1"/>
  <c r="AY265" i="1"/>
  <c r="BL265" i="1"/>
  <c r="BM265" i="1"/>
  <c r="CC265" i="1"/>
  <c r="DQ265" i="1"/>
  <c r="CN265" i="1"/>
  <c r="BH265" i="1"/>
  <c r="DB265" i="1"/>
  <c r="BY265" i="1"/>
  <c r="DM265" i="1"/>
  <c r="BE265" i="1"/>
  <c r="BU265" i="1"/>
  <c r="CA265" i="1"/>
  <c r="BG265" i="1"/>
  <c r="CI265" i="1"/>
  <c r="DT265" i="1"/>
  <c r="CB265" i="1"/>
  <c r="DP265" i="1"/>
  <c r="CP265" i="1"/>
  <c r="DK265" i="1"/>
  <c r="DF265" i="1"/>
  <c r="CY265" i="1"/>
  <c r="CU265" i="1"/>
  <c r="AW265" i="1"/>
  <c r="BJ265" i="1"/>
  <c r="BI265" i="1"/>
  <c r="CG265" i="1"/>
  <c r="EA31" i="1"/>
  <c r="AZ29" i="8"/>
  <c r="BU29" i="1"/>
  <c r="A28" i="1"/>
  <c r="EA28" i="1"/>
  <c r="D264" i="1"/>
  <c r="AT28" i="1"/>
  <c r="AJ26" i="8"/>
  <c r="BH26" i="8"/>
  <c r="BJ26" i="8" s="1"/>
  <c r="AD151" i="8"/>
  <c r="AR151" i="8"/>
  <c r="AJ151" i="8"/>
  <c r="AO151" i="8"/>
  <c r="AQ151" i="8"/>
  <c r="AI151" i="8"/>
  <c r="AF151" i="8"/>
  <c r="AS151" i="8"/>
  <c r="AG151" i="8"/>
  <c r="DQ262" i="1"/>
  <c r="DT262" i="1"/>
  <c r="DF262" i="1"/>
  <c r="AQ262" i="1"/>
  <c r="AP262" i="1"/>
  <c r="BS262" i="1"/>
  <c r="CN262" i="1"/>
  <c r="BX262" i="1"/>
  <c r="DB262" i="1"/>
  <c r="CE262" i="1"/>
  <c r="CT262" i="1"/>
  <c r="CW262" i="1"/>
  <c r="BQ262" i="1"/>
  <c r="AO262" i="1"/>
  <c r="DI262" i="1"/>
  <c r="CY262" i="1"/>
  <c r="BG262" i="1"/>
  <c r="AH262" i="1"/>
  <c r="DH262" i="1"/>
  <c r="AK262" i="1"/>
  <c r="CA262" i="1"/>
  <c r="BZ262" i="1"/>
  <c r="DR262" i="1"/>
  <c r="DP262" i="1"/>
  <c r="CB262" i="1"/>
  <c r="DS262" i="1"/>
  <c r="BR262" i="1"/>
  <c r="BP262" i="1"/>
  <c r="CX262" i="1"/>
  <c r="AS262" i="1"/>
  <c r="BE262" i="1"/>
  <c r="CO262" i="1"/>
  <c r="AI262" i="1"/>
  <c r="BM262" i="1"/>
  <c r="CG262" i="1"/>
  <c r="CD262" i="1"/>
  <c r="DM262" i="1"/>
  <c r="DJ262" i="1"/>
  <c r="AR262" i="1"/>
  <c r="BH262" i="1"/>
  <c r="BT262" i="1"/>
  <c r="AV262" i="1"/>
  <c r="DK262" i="1"/>
  <c r="DL262" i="1"/>
  <c r="AY262" i="1"/>
  <c r="BK262" i="1"/>
  <c r="BL262" i="1"/>
  <c r="CC262" i="1"/>
  <c r="CH262" i="1"/>
  <c r="DN262" i="1"/>
  <c r="CF262" i="1"/>
  <c r="CJ262" i="1"/>
  <c r="CP262" i="1"/>
  <c r="BV262" i="1"/>
  <c r="BW262" i="1"/>
  <c r="CS262" i="1"/>
  <c r="DD262" i="1"/>
  <c r="DG262" i="1"/>
  <c r="AU262" i="1"/>
  <c r="AJ262" i="1"/>
  <c r="AW262" i="1"/>
  <c r="BI262" i="1"/>
  <c r="BY262" i="1"/>
  <c r="D150" i="8"/>
  <c r="AJ25" i="8"/>
  <c r="AY25" i="8"/>
  <c r="AX25" i="8"/>
  <c r="DF261" i="1"/>
  <c r="CU261" i="1"/>
  <c r="DG261" i="1"/>
  <c r="CN261" i="1"/>
  <c r="AK261" i="1"/>
  <c r="BE261" i="1"/>
  <c r="BS261" i="1"/>
  <c r="DD261" i="1"/>
  <c r="DB261" i="1"/>
  <c r="AV261" i="1"/>
  <c r="BM261" i="1"/>
  <c r="CH261" i="1"/>
  <c r="DO261" i="1"/>
  <c r="AO261" i="1"/>
  <c r="AT261" i="1"/>
  <c r="AU261" i="1"/>
  <c r="AQ261" i="1"/>
  <c r="AP261" i="1"/>
  <c r="AY261" i="1"/>
  <c r="BJ261" i="1"/>
  <c r="BZ261" i="1"/>
  <c r="CG261" i="1"/>
  <c r="DC261" i="1"/>
  <c r="BX261" i="1"/>
  <c r="BQ261" i="1"/>
  <c r="BG261" i="1"/>
  <c r="BU261" i="1"/>
  <c r="AW261" i="1"/>
  <c r="BT261" i="1"/>
  <c r="BV261" i="1"/>
  <c r="DK261" i="1"/>
  <c r="CJ261" i="1"/>
  <c r="A25" i="1"/>
  <c r="AT25" i="1"/>
  <c r="D261" i="1"/>
  <c r="EA25" i="1"/>
  <c r="AC262" i="1"/>
  <c r="AC261" i="1"/>
  <c r="DM272" i="1"/>
  <c r="CK272" i="1"/>
  <c r="BA272" i="1"/>
  <c r="AZ272" i="1"/>
  <c r="DS266" i="1"/>
  <c r="CK266" i="1"/>
  <c r="BA266" i="1"/>
  <c r="AZ266" i="1"/>
  <c r="CK276" i="1"/>
  <c r="BA276" i="1"/>
  <c r="AZ276" i="1"/>
  <c r="CK280" i="1"/>
  <c r="AZ280" i="1"/>
  <c r="BA280" i="1"/>
  <c r="DR283" i="1"/>
  <c r="CK283" i="1"/>
  <c r="AZ283" i="1"/>
  <c r="BA283" i="1"/>
  <c r="CK267" i="1"/>
  <c r="BA267" i="1"/>
  <c r="AZ267" i="1"/>
  <c r="CK262" i="1"/>
  <c r="BA262" i="1"/>
  <c r="AZ262" i="1"/>
  <c r="CK271" i="1"/>
  <c r="BA271" i="1"/>
  <c r="AZ271" i="1"/>
  <c r="CK275" i="1"/>
  <c r="BA275" i="1"/>
  <c r="AZ275" i="1"/>
  <c r="CK268" i="1"/>
  <c r="BA268" i="1"/>
  <c r="AZ268" i="1"/>
  <c r="CK265" i="1"/>
  <c r="AZ265" i="1"/>
  <c r="BA265" i="1"/>
  <c r="CK279" i="1"/>
  <c r="BA279" i="1"/>
  <c r="AZ279" i="1"/>
  <c r="CK282" i="1"/>
  <c r="BA282" i="1"/>
  <c r="AZ282" i="1"/>
  <c r="CK270" i="1"/>
  <c r="BA270" i="1"/>
  <c r="AZ270" i="1"/>
  <c r="CK274" i="1"/>
  <c r="AZ274" i="1"/>
  <c r="BA274" i="1"/>
  <c r="CK278" i="1"/>
  <c r="BA278" i="1"/>
  <c r="AZ278" i="1"/>
  <c r="CK264" i="1"/>
  <c r="BA264" i="1"/>
  <c r="AZ264" i="1"/>
  <c r="CK261" i="1"/>
  <c r="BA261" i="1"/>
  <c r="AZ261" i="1"/>
  <c r="P23" i="8"/>
  <c r="AT23" i="8" s="1"/>
  <c r="BZ269" i="1"/>
  <c r="CK269" i="1"/>
  <c r="AZ269" i="1"/>
  <c r="BA269" i="1"/>
  <c r="CK273" i="1"/>
  <c r="BA273" i="1"/>
  <c r="AZ273" i="1"/>
  <c r="CK277" i="1"/>
  <c r="BA277" i="1"/>
  <c r="AZ277" i="1"/>
  <c r="CK281" i="1"/>
  <c r="AZ281" i="1"/>
  <c r="BA281" i="1"/>
  <c r="CK284" i="1"/>
  <c r="BA284" i="1"/>
  <c r="AZ284" i="1"/>
  <c r="CK263" i="1"/>
  <c r="BA263" i="1"/>
  <c r="AZ263" i="1"/>
  <c r="AB22" i="2"/>
  <c r="CK260" i="1"/>
  <c r="BY260" i="1"/>
  <c r="CS260" i="1"/>
  <c r="AX260" i="1"/>
  <c r="BA260" i="1"/>
  <c r="AZ260" i="1"/>
  <c r="AE148" i="8"/>
  <c r="BU260" i="1"/>
  <c r="CH260" i="1"/>
  <c r="AT260" i="1"/>
  <c r="CO260" i="1"/>
  <c r="CA260" i="1"/>
  <c r="AK260" i="1"/>
  <c r="BH260" i="1"/>
  <c r="DN260" i="1"/>
  <c r="CW260" i="1"/>
  <c r="CX260" i="1"/>
  <c r="DQ260" i="1"/>
  <c r="BD260" i="1"/>
  <c r="CF260" i="1"/>
  <c r="AS260" i="1"/>
  <c r="BM260" i="1"/>
  <c r="DC260" i="1"/>
  <c r="BU24" i="1"/>
  <c r="EY260" i="1"/>
  <c r="AU260" i="1"/>
  <c r="AH260" i="1"/>
  <c r="CP260" i="1"/>
  <c r="DI260" i="1"/>
  <c r="AY260" i="1"/>
  <c r="BI260" i="1"/>
  <c r="CG260" i="1"/>
  <c r="DT260" i="1"/>
  <c r="DG260" i="1"/>
  <c r="BR260" i="1"/>
  <c r="DH260" i="1"/>
  <c r="BV260" i="1"/>
  <c r="DL260" i="1"/>
  <c r="AP260" i="1"/>
  <c r="BT260" i="1"/>
  <c r="AQ260" i="1"/>
  <c r="BL260" i="1"/>
  <c r="CC260" i="1"/>
  <c r="DP260" i="1"/>
  <c r="BX260" i="1"/>
  <c r="CY260" i="1"/>
  <c r="CU260" i="1"/>
  <c r="CJ260" i="1"/>
  <c r="CD260" i="1"/>
  <c r="BW260" i="1"/>
  <c r="DJ260" i="1"/>
  <c r="AI260" i="1"/>
  <c r="DB260" i="1"/>
  <c r="CB260" i="1"/>
  <c r="BP260" i="1"/>
  <c r="DD260" i="1"/>
  <c r="BS260" i="1"/>
  <c r="DE260" i="1"/>
  <c r="DS260" i="1"/>
  <c r="DM260" i="1"/>
  <c r="DF260" i="1"/>
  <c r="AV260" i="1"/>
  <c r="CN260" i="1"/>
  <c r="AR260" i="1"/>
  <c r="BZ260" i="1"/>
  <c r="CE260" i="1"/>
  <c r="CV260" i="1"/>
  <c r="DK260" i="1"/>
  <c r="CT260" i="1"/>
  <c r="AW260" i="1"/>
  <c r="BQ260" i="1"/>
  <c r="BK260" i="1"/>
  <c r="BJ260" i="1"/>
  <c r="AU148" i="8"/>
  <c r="BE260" i="1"/>
  <c r="BF260" i="1"/>
  <c r="AO260" i="1"/>
  <c r="AJ260" i="1"/>
  <c r="AG148" i="8"/>
  <c r="AI148" i="8"/>
  <c r="AD148" i="8"/>
  <c r="AT148" i="8"/>
  <c r="AO148" i="8"/>
  <c r="AR148" i="8"/>
  <c r="AH148" i="8"/>
  <c r="AP148" i="8"/>
  <c r="AS148" i="8"/>
  <c r="AQ148" i="8"/>
  <c r="AJ148" i="8"/>
  <c r="I260" i="1"/>
  <c r="I261" i="1" s="1"/>
  <c r="I262" i="1" s="1"/>
  <c r="I263" i="1" s="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S260" i="1"/>
  <c r="AT24" i="1"/>
  <c r="D260" i="1"/>
  <c r="CY273" i="1"/>
  <c r="BM273" i="1"/>
  <c r="CT273" i="1"/>
  <c r="BX273" i="1"/>
  <c r="DJ273" i="1"/>
  <c r="DC273" i="1"/>
  <c r="BR273" i="1"/>
  <c r="CD273" i="1"/>
  <c r="CG273" i="1"/>
  <c r="AV273" i="1"/>
  <c r="CO273" i="1"/>
  <c r="BV273" i="1"/>
  <c r="DP273" i="1"/>
  <c r="CB273" i="1"/>
  <c r="CH273" i="1"/>
  <c r="AW273" i="1"/>
  <c r="CS273" i="1"/>
  <c r="BG273" i="1"/>
  <c r="BQ273" i="1"/>
  <c r="BY273" i="1"/>
  <c r="AK273" i="1"/>
  <c r="CX273" i="1"/>
  <c r="AH273" i="1"/>
  <c r="AY273" i="1"/>
  <c r="AX273" i="1"/>
  <c r="AJ273" i="1"/>
  <c r="BU273" i="1"/>
  <c r="DG273" i="1"/>
  <c r="DI273" i="1"/>
  <c r="BH273" i="1"/>
  <c r="DD273" i="1"/>
  <c r="DQ273" i="1"/>
  <c r="CA273" i="1"/>
  <c r="BK273" i="1"/>
  <c r="AS273" i="1"/>
  <c r="DK273" i="1"/>
  <c r="CP273" i="1"/>
  <c r="DE273" i="1"/>
  <c r="AY277" i="1"/>
  <c r="AJ277" i="1"/>
  <c r="BR277" i="1"/>
  <c r="DR277" i="1"/>
  <c r="BK277" i="1"/>
  <c r="BI277" i="1"/>
  <c r="AX277" i="1"/>
  <c r="BG277" i="1"/>
  <c r="DG277" i="1"/>
  <c r="AP277" i="1"/>
  <c r="BP277" i="1"/>
  <c r="DP277" i="1"/>
  <c r="CB277" i="1"/>
  <c r="CD277" i="1"/>
  <c r="AI277" i="1"/>
  <c r="AV277" i="1"/>
  <c r="BX277" i="1"/>
  <c r="AQ277" i="1"/>
  <c r="BJ277" i="1"/>
  <c r="DJ277" i="1"/>
  <c r="BF277" i="1"/>
  <c r="CT277" i="1"/>
  <c r="CW277" i="1"/>
  <c r="DH277" i="1"/>
  <c r="BH277" i="1"/>
  <c r="BZ277" i="1"/>
  <c r="AK277" i="1"/>
  <c r="DE277" i="1"/>
  <c r="DQ277" i="1"/>
  <c r="CA277" i="1"/>
  <c r="BM277" i="1"/>
  <c r="DK277" i="1"/>
  <c r="CS277" i="1"/>
  <c r="DF277" i="1"/>
  <c r="CO277" i="1"/>
  <c r="DR281" i="1"/>
  <c r="DN281" i="1"/>
  <c r="BZ281" i="1"/>
  <c r="BL281" i="1"/>
  <c r="CN281" i="1"/>
  <c r="CG281" i="1"/>
  <c r="AY281" i="1"/>
  <c r="CC281" i="1"/>
  <c r="AK281" i="1"/>
  <c r="CO281" i="1"/>
  <c r="AO281" i="1"/>
  <c r="BF281" i="1"/>
  <c r="AR281" i="1"/>
  <c r="CY281" i="1"/>
  <c r="BW281" i="1"/>
  <c r="DI281" i="1"/>
  <c r="CX281" i="1"/>
  <c r="DO281" i="1"/>
  <c r="DB281" i="1"/>
  <c r="BY281" i="1"/>
  <c r="BK281" i="1"/>
  <c r="BI281" i="1"/>
  <c r="CD281" i="1"/>
  <c r="BJ281" i="1"/>
  <c r="BE281" i="1"/>
  <c r="BT281" i="1"/>
  <c r="DG281" i="1"/>
  <c r="DC281" i="1"/>
  <c r="CP281" i="1"/>
  <c r="DH281" i="1"/>
  <c r="BS281" i="1"/>
  <c r="DM281" i="1"/>
  <c r="CE281" i="1"/>
  <c r="DL281" i="1"/>
  <c r="DO284" i="1"/>
  <c r="CG284" i="1"/>
  <c r="CJ284" i="1"/>
  <c r="BL284" i="1"/>
  <c r="BM284" i="1"/>
  <c r="AU284" i="1"/>
  <c r="DL284" i="1"/>
  <c r="DG284" i="1"/>
  <c r="CT284" i="1"/>
  <c r="CX284" i="1"/>
  <c r="AK284" i="1"/>
  <c r="DS284" i="1"/>
  <c r="BZ284" i="1"/>
  <c r="AH284" i="1"/>
  <c r="DJ284" i="1"/>
  <c r="DR284" i="1"/>
  <c r="BF284" i="1"/>
  <c r="CE284" i="1"/>
  <c r="CB284" i="1"/>
  <c r="AQ284" i="1"/>
  <c r="AP284" i="1"/>
  <c r="CP284" i="1"/>
  <c r="BP284" i="1"/>
  <c r="AX284" i="1"/>
  <c r="DC284" i="1"/>
  <c r="CY284" i="1"/>
  <c r="AR284" i="1"/>
  <c r="CD284" i="1"/>
  <c r="BG284" i="1"/>
  <c r="BX284" i="1"/>
  <c r="BQ284" i="1"/>
  <c r="BT284" i="1"/>
  <c r="DH284" i="1"/>
  <c r="BV284" i="1"/>
  <c r="CW284" i="1"/>
  <c r="AW284" i="1"/>
  <c r="BY284" i="1"/>
  <c r="CH284" i="1"/>
  <c r="BJ284" i="1"/>
  <c r="BK284" i="1"/>
  <c r="CO284" i="1"/>
  <c r="CV284" i="1"/>
  <c r="BD284" i="1"/>
  <c r="BE284" i="1"/>
  <c r="CU284" i="1"/>
  <c r="AT284" i="1"/>
  <c r="BH284" i="1"/>
  <c r="DI284" i="1"/>
  <c r="BU284" i="1"/>
  <c r="AI284" i="1"/>
  <c r="EA26" i="1"/>
  <c r="D262" i="1"/>
  <c r="BM263" i="1"/>
  <c r="AW263" i="1"/>
  <c r="BP263" i="1"/>
  <c r="AO263" i="1"/>
  <c r="AJ263" i="1"/>
  <c r="CI263" i="1"/>
  <c r="DR263" i="1"/>
  <c r="DI263" i="1"/>
  <c r="CX263" i="1"/>
  <c r="DQ281" i="1"/>
  <c r="AH277" i="1"/>
  <c r="CY277" i="1"/>
  <c r="BD277" i="1"/>
  <c r="CX277" i="1"/>
  <c r="DM277" i="1"/>
  <c r="BT273" i="1"/>
  <c r="BW273" i="1"/>
  <c r="BL273" i="1"/>
  <c r="CE273" i="1"/>
  <c r="DS273" i="1"/>
  <c r="DD269" i="1"/>
  <c r="BE269" i="1"/>
  <c r="AR269" i="1"/>
  <c r="DN269" i="1"/>
  <c r="DT269" i="1"/>
  <c r="AH269" i="1"/>
  <c r="AQ281" i="1"/>
  <c r="DF281" i="1"/>
  <c r="BR281" i="1"/>
  <c r="CS281" i="1"/>
  <c r="AP263" i="1"/>
  <c r="BH269" i="1"/>
  <c r="BD263" i="1"/>
  <c r="DK263" i="1"/>
  <c r="AT26" i="1"/>
  <c r="AU277" i="1"/>
  <c r="DG269" i="1"/>
  <c r="DE269" i="1"/>
  <c r="AT35" i="8"/>
  <c r="O160" i="8"/>
  <c r="AX281" i="1"/>
  <c r="CN284" i="1"/>
  <c r="AS284" i="1"/>
  <c r="CF284" i="1"/>
  <c r="CA281" i="1"/>
  <c r="DT281" i="1"/>
  <c r="DB277" i="1"/>
  <c r="AR277" i="1"/>
  <c r="AO277" i="1"/>
  <c r="DN277" i="1"/>
  <c r="DT277" i="1"/>
  <c r="DB273" i="1"/>
  <c r="AQ273" i="1"/>
  <c r="BI273" i="1"/>
  <c r="CI273" i="1"/>
  <c r="CO269" i="1"/>
  <c r="DL269" i="1"/>
  <c r="AW269" i="1"/>
  <c r="CE269" i="1"/>
  <c r="DS269" i="1"/>
  <c r="DF269" i="1"/>
  <c r="DJ269" i="1"/>
  <c r="DJ281" i="1"/>
  <c r="CV281" i="1"/>
  <c r="CU281" i="1"/>
  <c r="DK281" i="1"/>
  <c r="BP273" i="1"/>
  <c r="DD277" i="1"/>
  <c r="CN273" i="1"/>
  <c r="AI281" i="1"/>
  <c r="AO284" i="1"/>
  <c r="CS284" i="1"/>
  <c r="DR273" i="1"/>
  <c r="DP284" i="1"/>
  <c r="CI281" i="1"/>
  <c r="BU277" i="1"/>
  <c r="CN277" i="1"/>
  <c r="AW277" i="1"/>
  <c r="CE277" i="1"/>
  <c r="DS277" i="1"/>
  <c r="BD273" i="1"/>
  <c r="CV273" i="1"/>
  <c r="CC273" i="1"/>
  <c r="CF273" i="1"/>
  <c r="DI269" i="1"/>
  <c r="DH269" i="1"/>
  <c r="BL269" i="1"/>
  <c r="CI269" i="1"/>
  <c r="BU281" i="1"/>
  <c r="CW269" i="1"/>
  <c r="CT269" i="1"/>
  <c r="BD281" i="1"/>
  <c r="BH281" i="1"/>
  <c r="AP281" i="1"/>
  <c r="CT281" i="1"/>
  <c r="BQ277" i="1"/>
  <c r="BR263" i="1"/>
  <c r="BS277" i="1"/>
  <c r="CU277" i="1"/>
  <c r="DL277" i="1"/>
  <c r="DB284" i="1"/>
  <c r="BW284" i="1"/>
  <c r="BJ273" i="1"/>
  <c r="DT284" i="1"/>
  <c r="DP281" i="1"/>
  <c r="BZ263" i="1"/>
  <c r="CI277" i="1"/>
  <c r="CW281" i="1"/>
  <c r="A26" i="1"/>
  <c r="DF273" i="1"/>
  <c r="AO273" i="1"/>
  <c r="BS273" i="1"/>
  <c r="DI277" i="1"/>
  <c r="DE284" i="1"/>
  <c r="DD284" i="1"/>
  <c r="DK284" i="1"/>
  <c r="CH281" i="1"/>
  <c r="BK269" i="1"/>
  <c r="AT269" i="1"/>
  <c r="BJ269" i="1"/>
  <c r="DR269" i="1"/>
  <c r="BS269" i="1"/>
  <c r="AU269" i="1"/>
  <c r="BD269" i="1"/>
  <c r="BR269" i="1"/>
  <c r="DQ269" i="1"/>
  <c r="CA269" i="1"/>
  <c r="BM269" i="1"/>
  <c r="BV269" i="1"/>
  <c r="DK269" i="1"/>
  <c r="BQ269" i="1"/>
  <c r="BW269" i="1"/>
  <c r="CH269" i="1"/>
  <c r="AX269" i="1"/>
  <c r="DO269" i="1"/>
  <c r="CC269" i="1"/>
  <c r="BI269" i="1"/>
  <c r="BU269" i="1"/>
  <c r="BF269" i="1"/>
  <c r="AQ269" i="1"/>
  <c r="AS269" i="1"/>
  <c r="DP269" i="1"/>
  <c r="CB269" i="1"/>
  <c r="CD269" i="1"/>
  <c r="AI269" i="1"/>
  <c r="BG269" i="1"/>
  <c r="CP269" i="1"/>
  <c r="AV269" i="1"/>
  <c r="BR284" i="1"/>
  <c r="CB281" i="1"/>
  <c r="DS281" i="1"/>
  <c r="BT277" i="1"/>
  <c r="BV277" i="1"/>
  <c r="BL277" i="1"/>
  <c r="BF273" i="1"/>
  <c r="CU273" i="1"/>
  <c r="BE273" i="1"/>
  <c r="BZ273" i="1"/>
  <c r="CJ273" i="1"/>
  <c r="DB269" i="1"/>
  <c r="BX269" i="1"/>
  <c r="BY269" i="1"/>
  <c r="CF269" i="1"/>
  <c r="BP281" i="1"/>
  <c r="AP269" i="1"/>
  <c r="CS269" i="1"/>
  <c r="AS281" i="1"/>
  <c r="DD281" i="1"/>
  <c r="CY263" i="1"/>
  <c r="CF281" i="1"/>
  <c r="BW277" i="1"/>
  <c r="CP277" i="1"/>
  <c r="BY277" i="1"/>
  <c r="CF277" i="1"/>
  <c r="CW273" i="1"/>
  <c r="AT273" i="1"/>
  <c r="AU273" i="1"/>
  <c r="DO273" i="1"/>
  <c r="DM273" i="1"/>
  <c r="AO269" i="1"/>
  <c r="DC269" i="1"/>
  <c r="CG269" i="1"/>
  <c r="CJ269" i="1"/>
  <c r="O168" i="8"/>
  <c r="CY269" i="1"/>
  <c r="AU281" i="1"/>
  <c r="AV281" i="1"/>
  <c r="BX281" i="1"/>
  <c r="BV281" i="1"/>
  <c r="CU269" i="1"/>
  <c r="CV277" i="1"/>
  <c r="AR273" i="1"/>
  <c r="AJ281" i="1"/>
  <c r="AY284" i="1"/>
  <c r="DF284" i="1"/>
  <c r="BS284" i="1"/>
  <c r="AW281" i="1"/>
  <c r="BM281" i="1"/>
  <c r="F197" i="1"/>
  <c r="AH28" i="1"/>
  <c r="P40" i="8"/>
  <c r="O165" i="8" s="1"/>
  <c r="A43" i="1"/>
  <c r="AT46" i="1"/>
  <c r="EA41" i="1"/>
  <c r="P28" i="8"/>
  <c r="O153" i="8" s="1"/>
  <c r="P34" i="8"/>
  <c r="P39" i="8"/>
  <c r="P45" i="8"/>
  <c r="AT45" i="8" s="1"/>
  <c r="AH24" i="1"/>
  <c r="AX26" i="8"/>
  <c r="D151" i="8"/>
  <c r="AY26" i="8"/>
  <c r="AX23" i="8"/>
  <c r="AY23" i="8"/>
  <c r="AJ23" i="8"/>
  <c r="D148" i="8"/>
  <c r="BI23" i="8"/>
  <c r="BJ23" i="8" s="1"/>
  <c r="EA24" i="1"/>
  <c r="AA24" i="1"/>
  <c r="AA48" i="1"/>
  <c r="AO48" i="1" s="1"/>
  <c r="AA47" i="1"/>
  <c r="AO47" i="1" s="1"/>
  <c r="AA28" i="1"/>
  <c r="T28" i="1" s="1"/>
  <c r="AE28" i="1" s="1"/>
  <c r="AA36" i="1"/>
  <c r="T36" i="1" s="1"/>
  <c r="AE36" i="1" s="1"/>
  <c r="AA35" i="1"/>
  <c r="AA38" i="1"/>
  <c r="AA32" i="1"/>
  <c r="AO32" i="1" s="1"/>
  <c r="AA33" i="1"/>
  <c r="T33" i="1" s="1"/>
  <c r="AE33" i="1" s="1"/>
  <c r="AA46" i="1"/>
  <c r="AA37" i="1"/>
  <c r="AO37" i="1" s="1"/>
  <c r="AA34" i="1"/>
  <c r="AA42" i="1"/>
  <c r="AO42" i="1" s="1"/>
  <c r="AA40" i="1"/>
  <c r="AA45" i="1"/>
  <c r="AA39" i="1"/>
  <c r="AA27" i="1"/>
  <c r="AO27" i="1" s="1"/>
  <c r="AA41" i="1"/>
  <c r="AA26" i="1"/>
  <c r="AA44" i="1"/>
  <c r="AA30" i="1"/>
  <c r="AA43" i="1"/>
  <c r="AB23" i="2"/>
  <c r="AM168" i="8"/>
  <c r="AZ37" i="8"/>
  <c r="BJ33" i="8"/>
  <c r="AT46" i="8"/>
  <c r="O157" i="8"/>
  <c r="AM159" i="8"/>
  <c r="BF25" i="8"/>
  <c r="BF27" i="8"/>
  <c r="BF41" i="8"/>
  <c r="BF47" i="8"/>
  <c r="P25" i="8"/>
  <c r="O150" i="8" s="1"/>
  <c r="P24" i="8"/>
  <c r="AT24" i="8" s="1"/>
  <c r="AZ44" i="8"/>
  <c r="AM172" i="8"/>
  <c r="BJ45" i="8"/>
  <c r="AX168" i="8"/>
  <c r="BJ43" i="8"/>
  <c r="AT44" i="8"/>
  <c r="BJ34" i="8"/>
  <c r="BF31" i="8"/>
  <c r="BF33" i="8"/>
  <c r="BF35" i="8"/>
  <c r="BF38" i="8"/>
  <c r="BF40" i="8"/>
  <c r="BF42" i="8"/>
  <c r="BF44" i="8"/>
  <c r="BF46" i="8"/>
  <c r="AX163" i="8"/>
  <c r="BJ36" i="8"/>
  <c r="AD49" i="1"/>
  <c r="BJ37" i="8"/>
  <c r="AX159" i="8"/>
  <c r="EC34" i="1"/>
  <c r="ED34" i="1" s="1"/>
  <c r="Q270" i="1" s="1"/>
  <c r="Y144" i="1"/>
  <c r="O19" i="6"/>
  <c r="N19" i="6"/>
  <c r="O17" i="6"/>
  <c r="N17" i="6"/>
  <c r="DP270" i="1"/>
  <c r="DO270" i="1"/>
  <c r="BY270" i="1"/>
  <c r="CG270" i="1"/>
  <c r="CE270" i="1"/>
  <c r="DS270" i="1"/>
  <c r="CC270" i="1"/>
  <c r="CA270" i="1"/>
  <c r="BZ270" i="1"/>
  <c r="CD270" i="1"/>
  <c r="CH270" i="1"/>
  <c r="BJ270" i="1"/>
  <c r="BK270" i="1"/>
  <c r="CW270" i="1"/>
  <c r="DB270" i="1"/>
  <c r="BT270" i="1"/>
  <c r="BE270" i="1"/>
  <c r="AX270" i="1"/>
  <c r="BS270" i="1"/>
  <c r="CU270" i="1"/>
  <c r="BV270" i="1"/>
  <c r="BH270" i="1"/>
  <c r="AW270" i="1"/>
  <c r="AI270" i="1"/>
  <c r="BX270" i="1"/>
  <c r="AS270" i="1"/>
  <c r="DF270" i="1"/>
  <c r="DE270" i="1"/>
  <c r="BQ270" i="1"/>
  <c r="DI270" i="1"/>
  <c r="CT270" i="1"/>
  <c r="BG270" i="1"/>
  <c r="DC270" i="1"/>
  <c r="CP270" i="1"/>
  <c r="BR270" i="1"/>
  <c r="DR271" i="1"/>
  <c r="DQ271" i="1"/>
  <c r="CJ271" i="1"/>
  <c r="CE271" i="1"/>
  <c r="BM271" i="1"/>
  <c r="BK271" i="1"/>
  <c r="BL271" i="1"/>
  <c r="AW271" i="1"/>
  <c r="BP271" i="1"/>
  <c r="AV271" i="1"/>
  <c r="BX271" i="1"/>
  <c r="DL271" i="1"/>
  <c r="DB271" i="1"/>
  <c r="AH271" i="1"/>
  <c r="BG271" i="1"/>
  <c r="AS271" i="1"/>
  <c r="CO271" i="1"/>
  <c r="CN271" i="1"/>
  <c r="DC271" i="1"/>
  <c r="AO271" i="1"/>
  <c r="DP271" i="1"/>
  <c r="DO271" i="1"/>
  <c r="CH271" i="1"/>
  <c r="BZ271" i="1"/>
  <c r="CC271" i="1"/>
  <c r="DN271" i="1"/>
  <c r="CF271" i="1"/>
  <c r="CA271" i="1"/>
  <c r="BJ271" i="1"/>
  <c r="AX271" i="1"/>
  <c r="AI271" i="1"/>
  <c r="AT271" i="1"/>
  <c r="CT271" i="1"/>
  <c r="DJ271" i="1"/>
  <c r="BD271" i="1"/>
  <c r="BV271" i="1"/>
  <c r="BW271" i="1"/>
  <c r="BH271" i="1"/>
  <c r="CX271" i="1"/>
  <c r="DK271" i="1"/>
  <c r="BE271" i="1"/>
  <c r="AJ272" i="1"/>
  <c r="DP272" i="1"/>
  <c r="DT272" i="1"/>
  <c r="DO272" i="1"/>
  <c r="DS272" i="1"/>
  <c r="CC272" i="1"/>
  <c r="CA272" i="1"/>
  <c r="CI272" i="1"/>
  <c r="DN272" i="1"/>
  <c r="DQ272" i="1"/>
  <c r="CG272" i="1"/>
  <c r="CE272" i="1"/>
  <c r="BZ272" i="1"/>
  <c r="CD272" i="1"/>
  <c r="CH272" i="1"/>
  <c r="BJ272" i="1"/>
  <c r="DJ272" i="1"/>
  <c r="BK272" i="1"/>
  <c r="CS272" i="1"/>
  <c r="BU272" i="1"/>
  <c r="DL272" i="1"/>
  <c r="CV272" i="1"/>
  <c r="DB272" i="1"/>
  <c r="BV272" i="1"/>
  <c r="BD272" i="1"/>
  <c r="AV272" i="1"/>
  <c r="CN272" i="1"/>
  <c r="AH272" i="1"/>
  <c r="AW272" i="1"/>
  <c r="AK272" i="1"/>
  <c r="BX272" i="1"/>
  <c r="DF272" i="1"/>
  <c r="DC272" i="1"/>
  <c r="DD272" i="1"/>
  <c r="AQ272" i="1"/>
  <c r="CP272" i="1"/>
  <c r="CY272" i="1"/>
  <c r="DE272" i="1"/>
  <c r="BQ272" i="1"/>
  <c r="AS272" i="1"/>
  <c r="CU272" i="1"/>
  <c r="DP274" i="1"/>
  <c r="DQ274" i="1"/>
  <c r="BY274" i="1"/>
  <c r="CG274" i="1"/>
  <c r="CE274" i="1"/>
  <c r="CI274" i="1"/>
  <c r="BZ274" i="1"/>
  <c r="CD274" i="1"/>
  <c r="CH274" i="1"/>
  <c r="BJ274" i="1"/>
  <c r="AQ274" i="1"/>
  <c r="BK274" i="1"/>
  <c r="CX274" i="1"/>
  <c r="AP274" i="1"/>
  <c r="BG274" i="1"/>
  <c r="CS274" i="1"/>
  <c r="AT274" i="1"/>
  <c r="DD274" i="1"/>
  <c r="AX274" i="1"/>
  <c r="BE274" i="1"/>
  <c r="BX274" i="1"/>
  <c r="AH274" i="1"/>
  <c r="BU274" i="1"/>
  <c r="BV274" i="1"/>
  <c r="AY274" i="1"/>
  <c r="BQ274" i="1"/>
  <c r="AI274" i="1"/>
  <c r="BT274" i="1"/>
  <c r="CY274" i="1"/>
  <c r="BR274" i="1"/>
  <c r="DL274" i="1"/>
  <c r="BF274" i="1"/>
  <c r="BW274" i="1"/>
  <c r="BS274" i="1"/>
  <c r="DH274" i="1"/>
  <c r="CW274" i="1"/>
  <c r="DC274" i="1"/>
  <c r="CP274" i="1"/>
  <c r="DR275" i="1"/>
  <c r="CI275" i="1"/>
  <c r="DM275" i="1"/>
  <c r="CF275" i="1"/>
  <c r="BL275" i="1"/>
  <c r="BE275" i="1"/>
  <c r="DK275" i="1"/>
  <c r="CP275" i="1"/>
  <c r="CU275" i="1"/>
  <c r="AT275" i="1"/>
  <c r="AR275" i="1"/>
  <c r="AV275" i="1"/>
  <c r="BQ275" i="1"/>
  <c r="BW275" i="1"/>
  <c r="BR275" i="1"/>
  <c r="DP275" i="1"/>
  <c r="DO275" i="1"/>
  <c r="CH275" i="1"/>
  <c r="BZ275" i="1"/>
  <c r="CC275" i="1"/>
  <c r="DN275" i="1"/>
  <c r="CJ275" i="1"/>
  <c r="CE275" i="1"/>
  <c r="BK275" i="1"/>
  <c r="AY275" i="1"/>
  <c r="DF275" i="1"/>
  <c r="AI275" i="1"/>
  <c r="CY275" i="1"/>
  <c r="CW275" i="1"/>
  <c r="DB275" i="1"/>
  <c r="AH275" i="1"/>
  <c r="BX275" i="1"/>
  <c r="DE275" i="1"/>
  <c r="DC275" i="1"/>
  <c r="AU275" i="1"/>
  <c r="DH275" i="1"/>
  <c r="CS275" i="1"/>
  <c r="DD275" i="1"/>
  <c r="AF150" i="8"/>
  <c r="AS150" i="8"/>
  <c r="AH150" i="8"/>
  <c r="AO150" i="8"/>
  <c r="AP150" i="8"/>
  <c r="AI150" i="8"/>
  <c r="AR150" i="8"/>
  <c r="AD150" i="8"/>
  <c r="AT150" i="8"/>
  <c r="AY27" i="8"/>
  <c r="AZ27" i="8" s="1"/>
  <c r="BI27" i="8"/>
  <c r="AJ27" i="8"/>
  <c r="AY28" i="8"/>
  <c r="BI28" i="8"/>
  <c r="BJ28" i="8" s="1"/>
  <c r="AH153" i="8"/>
  <c r="AI153" i="8"/>
  <c r="AJ153" i="8"/>
  <c r="AP153" i="8"/>
  <c r="AS153" i="8"/>
  <c r="AQ153" i="8"/>
  <c r="AT153" i="8"/>
  <c r="AD153" i="8"/>
  <c r="BH30" i="8"/>
  <c r="D155" i="8"/>
  <c r="BI30" i="8"/>
  <c r="AX30" i="8"/>
  <c r="AZ30" i="8" s="1"/>
  <c r="AO155" i="8"/>
  <c r="AP155" i="8"/>
  <c r="AH155" i="8"/>
  <c r="AS155" i="8"/>
  <c r="AQ155" i="8"/>
  <c r="AG155" i="8"/>
  <c r="AT155" i="8"/>
  <c r="AD155" i="8"/>
  <c r="AY32" i="8"/>
  <c r="D157" i="8"/>
  <c r="AJ32" i="8"/>
  <c r="AG157" i="8"/>
  <c r="AS157" i="8"/>
  <c r="AJ157" i="8"/>
  <c r="AD157" i="8"/>
  <c r="AU157" i="8"/>
  <c r="AP157" i="8"/>
  <c r="BH39" i="8"/>
  <c r="AY39" i="8"/>
  <c r="AX39" i="8"/>
  <c r="AJ39" i="8"/>
  <c r="D164" i="8"/>
  <c r="AR164" i="8"/>
  <c r="AG164" i="8"/>
  <c r="AH164" i="8"/>
  <c r="AF164" i="8"/>
  <c r="AD164" i="8"/>
  <c r="AJ164" i="8"/>
  <c r="AU164" i="8"/>
  <c r="AI164" i="8"/>
  <c r="AP164" i="8"/>
  <c r="AS164" i="8"/>
  <c r="AX41" i="8"/>
  <c r="AY41" i="8"/>
  <c r="AJ41" i="8"/>
  <c r="BH41" i="8"/>
  <c r="AR166" i="8"/>
  <c r="AT166" i="8"/>
  <c r="AG166" i="8"/>
  <c r="AU166" i="8"/>
  <c r="AP166" i="8"/>
  <c r="AE166" i="8"/>
  <c r="AH166" i="8"/>
  <c r="AI166" i="8"/>
  <c r="AQ166" i="8"/>
  <c r="AS166" i="8"/>
  <c r="AF166" i="8"/>
  <c r="AO166" i="8"/>
  <c r="DN263" i="1"/>
  <c r="CJ263" i="1"/>
  <c r="CB263" i="1"/>
  <c r="CE263" i="1"/>
  <c r="CC263" i="1"/>
  <c r="BI263" i="1"/>
  <c r="BL263" i="1"/>
  <c r="AY263" i="1"/>
  <c r="BG263" i="1"/>
  <c r="AK263" i="1"/>
  <c r="DB263" i="1"/>
  <c r="AH263" i="1"/>
  <c r="BX263" i="1"/>
  <c r="BW263" i="1"/>
  <c r="BS263" i="1"/>
  <c r="DL263" i="1"/>
  <c r="DG263" i="1"/>
  <c r="AQ263" i="1"/>
  <c r="CO263" i="1"/>
  <c r="BH263" i="1"/>
  <c r="DH263" i="1"/>
  <c r="CN263" i="1"/>
  <c r="AU263" i="1"/>
  <c r="DC263" i="1"/>
  <c r="CP263" i="1"/>
  <c r="DE263" i="1"/>
  <c r="AR263" i="1"/>
  <c r="BE263" i="1"/>
  <c r="CW263" i="1"/>
  <c r="BU263" i="1"/>
  <c r="AS263" i="1"/>
  <c r="DS263" i="1"/>
  <c r="DT263" i="1"/>
  <c r="DQ263" i="1"/>
  <c r="CH263" i="1"/>
  <c r="CG263" i="1"/>
  <c r="D263" i="1"/>
  <c r="AT27" i="1"/>
  <c r="D265" i="1"/>
  <c r="EA29" i="1"/>
  <c r="A31" i="1"/>
  <c r="AT31" i="1"/>
  <c r="A33" i="1"/>
  <c r="EA33" i="1"/>
  <c r="D269" i="1"/>
  <c r="AT36" i="1"/>
  <c r="D272" i="1"/>
  <c r="A36" i="1"/>
  <c r="EA38" i="1"/>
  <c r="EY261" i="1"/>
  <c r="Z261" i="1"/>
  <c r="P50" i="1"/>
  <c r="P50" i="14" s="1"/>
  <c r="EG267" i="1"/>
  <c r="EY267" i="1"/>
  <c r="Z267" i="1"/>
  <c r="BJ32" i="8"/>
  <c r="AM167" i="8"/>
  <c r="A27" i="1"/>
  <c r="D152" i="8"/>
  <c r="DO274" i="1"/>
  <c r="DN274" i="1"/>
  <c r="DQ270" i="1"/>
  <c r="DR270" i="1"/>
  <c r="AJ270" i="1"/>
  <c r="AR157" i="8"/>
  <c r="AF157" i="8"/>
  <c r="AT157" i="8"/>
  <c r="AO157" i="8"/>
  <c r="AA25" i="1"/>
  <c r="AA31" i="1"/>
  <c r="AA29" i="1"/>
  <c r="CD263" i="1"/>
  <c r="DM263" i="1"/>
  <c r="AT33" i="1"/>
  <c r="EA27" i="1"/>
  <c r="AX32" i="8"/>
  <c r="AJ155" i="8"/>
  <c r="AF155" i="8"/>
  <c r="AI155" i="8"/>
  <c r="AO153" i="8"/>
  <c r="AF153" i="8"/>
  <c r="AR153" i="8"/>
  <c r="AJ28" i="8"/>
  <c r="AX28" i="8"/>
  <c r="BV275" i="1"/>
  <c r="CO275" i="1"/>
  <c r="CV275" i="1"/>
  <c r="BS275" i="1"/>
  <c r="DL275" i="1"/>
  <c r="AJ275" i="1"/>
  <c r="BJ275" i="1"/>
  <c r="CB275" i="1"/>
  <c r="BY275" i="1"/>
  <c r="CD275" i="1"/>
  <c r="DT275" i="1"/>
  <c r="CS271" i="1"/>
  <c r="AQ271" i="1"/>
  <c r="AR271" i="1"/>
  <c r="CP271" i="1"/>
  <c r="DG271" i="1"/>
  <c r="AJ271" i="1"/>
  <c r="BI271" i="1"/>
  <c r="DM271" i="1"/>
  <c r="CG271" i="1"/>
  <c r="DI271" i="1"/>
  <c r="DS271" i="1"/>
  <c r="AT47" i="8"/>
  <c r="D153" i="8"/>
  <c r="BU275" i="1"/>
  <c r="CX275" i="1"/>
  <c r="BT275" i="1"/>
  <c r="DG275" i="1"/>
  <c r="DJ275" i="1"/>
  <c r="AU271" i="1"/>
  <c r="BR271" i="1"/>
  <c r="CU271" i="1"/>
  <c r="AM163" i="8"/>
  <c r="AQ150" i="8"/>
  <c r="AE150" i="8"/>
  <c r="BU31" i="1"/>
  <c r="AU274" i="1"/>
  <c r="DF274" i="1"/>
  <c r="AV274" i="1"/>
  <c r="DI274" i="1"/>
  <c r="A38" i="1"/>
  <c r="BE272" i="1"/>
  <c r="AT272" i="1"/>
  <c r="BP272" i="1"/>
  <c r="AP272" i="1"/>
  <c r="BG272" i="1"/>
  <c r="BP270" i="1"/>
  <c r="DJ270" i="1"/>
  <c r="BF270" i="1"/>
  <c r="CX270" i="1"/>
  <c r="CS270" i="1"/>
  <c r="CO270" i="1"/>
  <c r="DF263" i="1"/>
  <c r="DD263" i="1"/>
  <c r="BT263" i="1"/>
  <c r="BF271" i="1"/>
  <c r="BV263" i="1"/>
  <c r="DJ263" i="1"/>
  <c r="CS263" i="1"/>
  <c r="BQ263" i="1"/>
  <c r="CV263" i="1"/>
  <c r="AV263" i="1"/>
  <c r="CT263" i="1"/>
  <c r="DD271" i="1"/>
  <c r="CU263" i="1"/>
  <c r="AT263" i="1"/>
  <c r="EG265" i="1"/>
  <c r="AI263" i="1"/>
  <c r="BF263" i="1"/>
  <c r="D267" i="1"/>
  <c r="BU271" i="1"/>
  <c r="AI272" i="1"/>
  <c r="AK270" i="1"/>
  <c r="AW274" i="1"/>
  <c r="AY272" i="1"/>
  <c r="AX263" i="1"/>
  <c r="BR272" i="1"/>
  <c r="AT270" i="1"/>
  <c r="CN270" i="1"/>
  <c r="AR274" i="1"/>
  <c r="DK270" i="1"/>
  <c r="D274" i="1"/>
  <c r="CN274" i="1"/>
  <c r="BH272" i="1"/>
  <c r="DG272" i="1"/>
  <c r="DK274" i="1"/>
  <c r="AX272" i="1"/>
  <c r="DH270" i="1"/>
  <c r="CU274" i="1"/>
  <c r="AH270" i="1"/>
  <c r="CX272" i="1"/>
  <c r="BS272" i="1"/>
  <c r="CT272" i="1"/>
  <c r="BI274" i="1"/>
  <c r="BM272" i="1"/>
  <c r="BM270" i="1"/>
  <c r="BJ263" i="1"/>
  <c r="AU270" i="1"/>
  <c r="BL274" i="1"/>
  <c r="BL270" i="1"/>
  <c r="BK263" i="1"/>
  <c r="BI275" i="1"/>
  <c r="CJ274" i="1"/>
  <c r="CB274" i="1"/>
  <c r="CF272" i="1"/>
  <c r="CJ270" i="1"/>
  <c r="CB270" i="1"/>
  <c r="BY263" i="1"/>
  <c r="CA263" i="1"/>
  <c r="CF263" i="1"/>
  <c r="CB271" i="1"/>
  <c r="CI270" i="1"/>
  <c r="BY272" i="1"/>
  <c r="DM274" i="1"/>
  <c r="DO263" i="1"/>
  <c r="DT274" i="1"/>
  <c r="DR272" i="1"/>
  <c r="AJ166" i="8"/>
  <c r="AD166" i="8"/>
  <c r="AQ164" i="8"/>
  <c r="BI39" i="8"/>
  <c r="BI41" i="8"/>
  <c r="AJ276" i="1"/>
  <c r="DP276" i="1"/>
  <c r="DT276" i="1"/>
  <c r="DM276" i="1"/>
  <c r="DQ276" i="1"/>
  <c r="CC276" i="1"/>
  <c r="CA276" i="1"/>
  <c r="CI276" i="1"/>
  <c r="DO277" i="1"/>
  <c r="CH277" i="1"/>
  <c r="CC277" i="1"/>
  <c r="DR279" i="1"/>
  <c r="DQ279" i="1"/>
  <c r="AJ280" i="1"/>
  <c r="DP280" i="1"/>
  <c r="DT280" i="1"/>
  <c r="DO280" i="1"/>
  <c r="DS280" i="1"/>
  <c r="CC280" i="1"/>
  <c r="CA280" i="1"/>
  <c r="CI280" i="1"/>
  <c r="DN284" i="1"/>
  <c r="DM284" i="1"/>
  <c r="DQ284" i="1"/>
  <c r="CC284" i="1"/>
  <c r="CA284" i="1"/>
  <c r="CI284" i="1"/>
  <c r="AT151" i="8"/>
  <c r="AP151" i="8"/>
  <c r="AD160" i="8"/>
  <c r="AM160" i="8" s="1"/>
  <c r="AS160" i="8"/>
  <c r="AX160" i="8" s="1"/>
  <c r="AJ40" i="8"/>
  <c r="BI40" i="8"/>
  <c r="BJ40" i="8" s="1"/>
  <c r="D165" i="8"/>
  <c r="AO165" i="8"/>
  <c r="AJ165" i="8"/>
  <c r="AF165" i="8"/>
  <c r="AD165" i="8"/>
  <c r="AH165" i="8"/>
  <c r="AR165" i="8"/>
  <c r="AQ165" i="8"/>
  <c r="BI42" i="8"/>
  <c r="AY42" i="8"/>
  <c r="AX42" i="8"/>
  <c r="BH42" i="8"/>
  <c r="AS169" i="8"/>
  <c r="AD169" i="8"/>
  <c r="AT169" i="8"/>
  <c r="AR169" i="8"/>
  <c r="D171" i="8"/>
  <c r="AY46" i="8"/>
  <c r="AZ46" i="8" s="1"/>
  <c r="BI46" i="8"/>
  <c r="BJ46" i="8" s="1"/>
  <c r="AP171" i="8"/>
  <c r="AE171" i="8"/>
  <c r="AI171" i="8"/>
  <c r="AS171" i="8"/>
  <c r="DN265" i="1"/>
  <c r="DR265" i="1"/>
  <c r="DO260" i="1"/>
  <c r="DR260" i="1"/>
  <c r="A44" i="1"/>
  <c r="EA44" i="1"/>
  <c r="EC44" i="1" s="1"/>
  <c r="ED44" i="1" s="1"/>
  <c r="Q280" i="1" s="1"/>
  <c r="CS258" i="14" l="1"/>
  <c r="BX258" i="14"/>
  <c r="CO258" i="14"/>
  <c r="DG258" i="14"/>
  <c r="AT28" i="14"/>
  <c r="D254" i="14"/>
  <c r="EB25" i="14"/>
  <c r="EC43" i="1"/>
  <c r="ED43" i="1" s="1"/>
  <c r="Q279" i="1" s="1"/>
  <c r="EO28" i="14"/>
  <c r="EP28" i="14" s="1"/>
  <c r="G257" i="14" s="1"/>
  <c r="EP45" i="1"/>
  <c r="G281" i="1" s="1"/>
  <c r="EP48" i="1"/>
  <c r="G284" i="1" s="1"/>
  <c r="EP36" i="1"/>
  <c r="G272" i="1" s="1"/>
  <c r="EP32" i="1"/>
  <c r="G268" i="1" s="1"/>
  <c r="BJ47" i="8"/>
  <c r="EP47" i="1"/>
  <c r="G283" i="1" s="1"/>
  <c r="T32" i="1"/>
  <c r="AE32" i="1" s="1"/>
  <c r="AT29" i="8"/>
  <c r="EO27" i="14"/>
  <c r="EN25" i="14"/>
  <c r="EO29" i="14"/>
  <c r="A28" i="14"/>
  <c r="D257" i="14"/>
  <c r="EP41" i="1"/>
  <c r="G277" i="1" s="1"/>
  <c r="EP38" i="1"/>
  <c r="G274" i="1" s="1"/>
  <c r="EP43" i="1"/>
  <c r="G279" i="1" s="1"/>
  <c r="EP39" i="1"/>
  <c r="G275" i="1" s="1"/>
  <c r="EN28" i="14"/>
  <c r="EC41" i="1"/>
  <c r="ED41" i="1" s="1"/>
  <c r="Q277" i="1" s="1"/>
  <c r="AZ25" i="8"/>
  <c r="AT25" i="14"/>
  <c r="A29" i="14"/>
  <c r="AZ43" i="8"/>
  <c r="EC38" i="1"/>
  <c r="ED38" i="1" s="1"/>
  <c r="Q274" i="1" s="1"/>
  <c r="EA35" i="14"/>
  <c r="A27" i="14"/>
  <c r="EO25" i="14"/>
  <c r="EA25" i="14"/>
  <c r="DD258" i="14"/>
  <c r="AW258" i="14"/>
  <c r="CY258" i="14"/>
  <c r="BT258" i="14"/>
  <c r="BE258" i="14"/>
  <c r="EB37" i="14"/>
  <c r="EN29" i="14"/>
  <c r="EP29" i="14" s="1"/>
  <c r="G258" i="14" s="1"/>
  <c r="EP37" i="1"/>
  <c r="G273" i="1" s="1"/>
  <c r="EP46" i="1"/>
  <c r="G282" i="1" s="1"/>
  <c r="EP34" i="1"/>
  <c r="G270" i="1" s="1"/>
  <c r="AX170" i="8"/>
  <c r="AX162" i="8"/>
  <c r="AM158" i="8"/>
  <c r="EP28" i="1"/>
  <c r="G264" i="1" s="1"/>
  <c r="BJ35" i="8"/>
  <c r="EP35" i="1"/>
  <c r="G271" i="1" s="1"/>
  <c r="AZ38" i="8"/>
  <c r="AM170" i="8"/>
  <c r="EC31" i="1"/>
  <c r="ED31" i="1" s="1"/>
  <c r="Q267" i="1" s="1"/>
  <c r="EC32" i="1"/>
  <c r="ED32" i="1" s="1"/>
  <c r="Q268" i="1" s="1"/>
  <c r="A35" i="14"/>
  <c r="EB34" i="14"/>
  <c r="EA40" i="14"/>
  <c r="EC40" i="14" s="1"/>
  <c r="ED40" i="14" s="1"/>
  <c r="Q269" i="14" s="1"/>
  <c r="BF258" i="14"/>
  <c r="DE258" i="14"/>
  <c r="BJ258" i="14"/>
  <c r="AI258" i="14"/>
  <c r="EA29" i="14"/>
  <c r="EC39" i="1"/>
  <c r="ED39" i="1" s="1"/>
  <c r="Q275" i="1" s="1"/>
  <c r="AM161" i="8"/>
  <c r="AX158" i="8"/>
  <c r="AA15" i="8"/>
  <c r="EC40" i="1"/>
  <c r="ED40" i="1" s="1"/>
  <c r="Q276" i="1" s="1"/>
  <c r="D277" i="14"/>
  <c r="EO47" i="14"/>
  <c r="AM162" i="8"/>
  <c r="EC42" i="1"/>
  <c r="ED42" i="1" s="1"/>
  <c r="Q278" i="1" s="1"/>
  <c r="EC35" i="1"/>
  <c r="ED35" i="1" s="1"/>
  <c r="Q271" i="1" s="1"/>
  <c r="D264" i="14"/>
  <c r="EO35" i="14"/>
  <c r="EP35" i="14" s="1"/>
  <c r="G264" i="14" s="1"/>
  <c r="AT42" i="14"/>
  <c r="EA34" i="14"/>
  <c r="EC34" i="14" s="1"/>
  <c r="ED34" i="14" s="1"/>
  <c r="Q263" i="14" s="1"/>
  <c r="EO33" i="14"/>
  <c r="EP33" i="14" s="1"/>
  <c r="G262" i="14" s="1"/>
  <c r="A48" i="14"/>
  <c r="EB40" i="14"/>
  <c r="D269" i="14"/>
  <c r="EA47" i="14"/>
  <c r="EC47" i="14" s="1"/>
  <c r="ED47" i="14" s="1"/>
  <c r="Q276" i="14" s="1"/>
  <c r="EO31" i="14"/>
  <c r="BD258" i="14"/>
  <c r="DH258" i="14"/>
  <c r="BP258" i="14"/>
  <c r="CU258" i="14"/>
  <c r="DC258" i="14"/>
  <c r="DL258" i="14"/>
  <c r="AR258" i="14"/>
  <c r="DJ258" i="14"/>
  <c r="BM258" i="14"/>
  <c r="BI258" i="14"/>
  <c r="EA30" i="14"/>
  <c r="AT45" i="14"/>
  <c r="EN36" i="14"/>
  <c r="BJ31" i="8"/>
  <c r="EP40" i="1"/>
  <c r="G276" i="1" s="1"/>
  <c r="AZ34" i="8"/>
  <c r="AA15" i="1"/>
  <c r="A31" i="14"/>
  <c r="BJ27" i="8"/>
  <c r="AM149" i="8"/>
  <c r="EC36" i="1"/>
  <c r="ED36" i="1" s="1"/>
  <c r="Q272" i="1" s="1"/>
  <c r="EC47" i="1"/>
  <c r="ED47" i="1" s="1"/>
  <c r="Q283" i="1" s="1"/>
  <c r="AT35" i="14"/>
  <c r="AT34" i="14"/>
  <c r="AT48" i="14"/>
  <c r="EO40" i="14"/>
  <c r="EP40" i="14" s="1"/>
  <c r="G269" i="14" s="1"/>
  <c r="D276" i="14"/>
  <c r="EB31" i="14"/>
  <c r="EC31" i="14" s="1"/>
  <c r="ED31" i="14" s="1"/>
  <c r="Q260" i="14" s="1"/>
  <c r="DS258" i="14"/>
  <c r="BZ258" i="14"/>
  <c r="AS258" i="14"/>
  <c r="DM258" i="14"/>
  <c r="BY258" i="14"/>
  <c r="DT258" i="14"/>
  <c r="CE258" i="14"/>
  <c r="CX258" i="14"/>
  <c r="AO258" i="14"/>
  <c r="EN45" i="14"/>
  <c r="AT37" i="14"/>
  <c r="D265" i="14"/>
  <c r="EB27" i="14"/>
  <c r="EC27" i="14" s="1"/>
  <c r="ED27" i="14" s="1"/>
  <c r="Q256" i="14" s="1"/>
  <c r="EB33" i="14"/>
  <c r="EB45" i="14"/>
  <c r="EN27" i="14"/>
  <c r="D256" i="14"/>
  <c r="EA42" i="14"/>
  <c r="EC42" i="14" s="1"/>
  <c r="ED42" i="14" s="1"/>
  <c r="Q271" i="14" s="1"/>
  <c r="A42" i="14"/>
  <c r="EO34" i="14"/>
  <c r="A34" i="14"/>
  <c r="EA33" i="14"/>
  <c r="EC33" i="14" s="1"/>
  <c r="ED33" i="14" s="1"/>
  <c r="Q262" i="14" s="1"/>
  <c r="AT33" i="14"/>
  <c r="EA48" i="14"/>
  <c r="EC48" i="14" s="1"/>
  <c r="ED48" i="14" s="1"/>
  <c r="Q277" i="14" s="1"/>
  <c r="EO48" i="14"/>
  <c r="EP48" i="14" s="1"/>
  <c r="G277" i="14" s="1"/>
  <c r="EN47" i="14"/>
  <c r="A47" i="14"/>
  <c r="EN31" i="14"/>
  <c r="EP31" i="14" s="1"/>
  <c r="G260" i="14" s="1"/>
  <c r="DO258" i="14"/>
  <c r="AT258" i="14"/>
  <c r="BR258" i="14"/>
  <c r="BS258" i="14"/>
  <c r="DB258" i="14"/>
  <c r="BQ258" i="14"/>
  <c r="BU258" i="14"/>
  <c r="AK258" i="14"/>
  <c r="BL258" i="14"/>
  <c r="AJ258" i="14"/>
  <c r="DI258" i="14"/>
  <c r="CG258" i="14"/>
  <c r="DQ258" i="14"/>
  <c r="CT258" i="14"/>
  <c r="CH258" i="14"/>
  <c r="BK258" i="14"/>
  <c r="CP258" i="14"/>
  <c r="DR258" i="14"/>
  <c r="CV258" i="14"/>
  <c r="EN30" i="14"/>
  <c r="A30" i="14"/>
  <c r="A45" i="14"/>
  <c r="EO45" i="14"/>
  <c r="EN37" i="14"/>
  <c r="EP37" i="14" s="1"/>
  <c r="G266" i="14" s="1"/>
  <c r="A37" i="14"/>
  <c r="EO36" i="14"/>
  <c r="EA36" i="14"/>
  <c r="AM169" i="8"/>
  <c r="AT27" i="14"/>
  <c r="EO42" i="14"/>
  <c r="D262" i="14"/>
  <c r="AT30" i="14"/>
  <c r="EB30" i="14"/>
  <c r="EA45" i="14"/>
  <c r="EC45" i="14" s="1"/>
  <c r="ED45" i="14" s="1"/>
  <c r="Q274" i="14" s="1"/>
  <c r="O161" i="8"/>
  <c r="AZ32" i="8"/>
  <c r="AX157" i="8"/>
  <c r="EC30" i="1"/>
  <c r="ED30" i="1" s="1"/>
  <c r="Q266" i="1" s="1"/>
  <c r="EN42" i="14"/>
  <c r="EP42" i="14" s="1"/>
  <c r="G271" i="14" s="1"/>
  <c r="EN34" i="14"/>
  <c r="D260" i="14"/>
  <c r="AP258" i="14"/>
  <c r="BH258" i="14"/>
  <c r="CI258" i="14"/>
  <c r="DP258" i="14"/>
  <c r="AY258" i="14"/>
  <c r="CB258" i="14"/>
  <c r="CF258" i="14"/>
  <c r="CC258" i="14"/>
  <c r="CN258" i="14"/>
  <c r="CJ258" i="14"/>
  <c r="BV258" i="14"/>
  <c r="AU258" i="14"/>
  <c r="CD258" i="14"/>
  <c r="BG258" i="14"/>
  <c r="AV258" i="14"/>
  <c r="DK258" i="14"/>
  <c r="BW258" i="14"/>
  <c r="DN258" i="14"/>
  <c r="EA37" i="14"/>
  <c r="EC37" i="14" s="1"/>
  <c r="ED37" i="14" s="1"/>
  <c r="Q266" i="14" s="1"/>
  <c r="EB29" i="14"/>
  <c r="EB36" i="14"/>
  <c r="AX161" i="8"/>
  <c r="EO24" i="14"/>
  <c r="EB24" i="14"/>
  <c r="D253" i="14"/>
  <c r="EP30" i="14"/>
  <c r="G259" i="14" s="1"/>
  <c r="A24" i="14"/>
  <c r="EA24" i="14"/>
  <c r="EC35" i="14"/>
  <c r="ED35" i="14" s="1"/>
  <c r="Q264" i="14" s="1"/>
  <c r="EC28" i="14"/>
  <c r="ED28" i="14" s="1"/>
  <c r="Q257" i="14" s="1"/>
  <c r="EN24" i="14"/>
  <c r="BU257" i="14"/>
  <c r="DT257" i="14"/>
  <c r="CN257" i="14"/>
  <c r="AY257" i="14"/>
  <c r="CV257" i="14"/>
  <c r="BI257" i="14"/>
  <c r="DI257" i="14"/>
  <c r="BV257" i="14"/>
  <c r="DS257" i="14"/>
  <c r="CF257" i="14"/>
  <c r="AT257" i="14"/>
  <c r="DH257" i="14"/>
  <c r="CP257" i="14"/>
  <c r="BE257" i="14"/>
  <c r="DE257" i="14"/>
  <c r="BR257" i="14"/>
  <c r="DO257" i="14"/>
  <c r="CB257" i="14"/>
  <c r="AP257" i="14"/>
  <c r="DR257" i="14"/>
  <c r="CE257" i="14"/>
  <c r="AS257" i="14"/>
  <c r="CU257" i="14"/>
  <c r="BH257" i="14"/>
  <c r="DG257" i="14"/>
  <c r="BT257" i="14"/>
  <c r="BQ257" i="14"/>
  <c r="DJ257" i="14"/>
  <c r="BW257" i="14"/>
  <c r="AH257" i="14"/>
  <c r="CH257" i="14"/>
  <c r="AV257" i="14"/>
  <c r="CW257" i="14"/>
  <c r="BJ257" i="14"/>
  <c r="CG257" i="14"/>
  <c r="CA257" i="14"/>
  <c r="CO257" i="14"/>
  <c r="DC257" i="14"/>
  <c r="DD257" i="14"/>
  <c r="BS257" i="14"/>
  <c r="CD257" i="14"/>
  <c r="CS257" i="14"/>
  <c r="BM257" i="14"/>
  <c r="BZ257" i="14"/>
  <c r="CJ257" i="14"/>
  <c r="AW257" i="14"/>
  <c r="BL257" i="14"/>
  <c r="BX257" i="14"/>
  <c r="AJ257" i="14"/>
  <c r="DN257" i="14"/>
  <c r="AO257" i="14"/>
  <c r="BD257" i="14"/>
  <c r="BP257" i="14"/>
  <c r="DF257" i="14"/>
  <c r="DQ257" i="14"/>
  <c r="AR257" i="14"/>
  <c r="BF257" i="14"/>
  <c r="BY257" i="14"/>
  <c r="DB257" i="14"/>
  <c r="DM257" i="14"/>
  <c r="AK257" i="14"/>
  <c r="AU257" i="14"/>
  <c r="CI257" i="14"/>
  <c r="CY257" i="14"/>
  <c r="DK257" i="14"/>
  <c r="AI257" i="14"/>
  <c r="DL257" i="14"/>
  <c r="BG257" i="14"/>
  <c r="CC257" i="14"/>
  <c r="CT257" i="14"/>
  <c r="CX257" i="14"/>
  <c r="DP257" i="14"/>
  <c r="AX257" i="14"/>
  <c r="AQ257" i="14"/>
  <c r="BK257" i="14"/>
  <c r="DG262" i="14"/>
  <c r="AX262" i="14"/>
  <c r="CY262" i="14"/>
  <c r="BL262" i="14"/>
  <c r="DL262" i="14"/>
  <c r="BY262" i="14"/>
  <c r="AJ262" i="14"/>
  <c r="CI262" i="14"/>
  <c r="AW262" i="14"/>
  <c r="AP262" i="14"/>
  <c r="CF262" i="14"/>
  <c r="CJ262" i="14"/>
  <c r="DQ262" i="14"/>
  <c r="CD262" i="14"/>
  <c r="AR262" i="14"/>
  <c r="CT262" i="14"/>
  <c r="BG262" i="14"/>
  <c r="DF262" i="14"/>
  <c r="BS262" i="14"/>
  <c r="DO262" i="14"/>
  <c r="BF262" i="14"/>
  <c r="DE262" i="14"/>
  <c r="BD262" i="14"/>
  <c r="CN262" i="14"/>
  <c r="AQ262" i="14"/>
  <c r="CA262" i="14"/>
  <c r="CW262" i="14"/>
  <c r="DC262" i="14"/>
  <c r="CU262" i="14"/>
  <c r="AV262" i="14"/>
  <c r="CG262" i="14"/>
  <c r="DR262" i="14"/>
  <c r="BW262" i="14"/>
  <c r="CB262" i="14"/>
  <c r="BP262" i="14"/>
  <c r="CO262" i="14"/>
  <c r="AK262" i="14"/>
  <c r="CC262" i="14"/>
  <c r="DN262" i="14"/>
  <c r="BM262" i="14"/>
  <c r="BJ262" i="14"/>
  <c r="AT262" i="14"/>
  <c r="CH262" i="14"/>
  <c r="DT262" i="14"/>
  <c r="BU262" i="14"/>
  <c r="DJ262" i="14"/>
  <c r="BI262" i="14"/>
  <c r="DK262" i="14"/>
  <c r="BZ262" i="14"/>
  <c r="DP262" i="14"/>
  <c r="BQ262" i="14"/>
  <c r="DB262" i="14"/>
  <c r="BE262" i="14"/>
  <c r="CS262" i="14"/>
  <c r="BV262" i="14"/>
  <c r="DH262" i="14"/>
  <c r="BK262" i="14"/>
  <c r="CV262" i="14"/>
  <c r="AS262" i="14"/>
  <c r="BX262" i="14"/>
  <c r="DM262" i="14"/>
  <c r="BR262" i="14"/>
  <c r="DD262" i="14"/>
  <c r="AY262" i="14"/>
  <c r="CP262" i="14"/>
  <c r="AO262" i="14"/>
  <c r="AI262" i="14"/>
  <c r="DI262" i="14"/>
  <c r="BH262" i="14"/>
  <c r="CX262" i="14"/>
  <c r="AU262" i="14"/>
  <c r="CE262" i="14"/>
  <c r="AH262" i="14"/>
  <c r="DS262" i="14"/>
  <c r="BT262" i="14"/>
  <c r="DB275" i="14"/>
  <c r="BM275" i="14"/>
  <c r="DK275" i="14"/>
  <c r="BK275" i="14"/>
  <c r="DD275" i="14"/>
  <c r="BD275" i="14"/>
  <c r="CJ275" i="14"/>
  <c r="AJ275" i="14"/>
  <c r="DS275" i="14"/>
  <c r="CV275" i="14"/>
  <c r="BI275" i="14"/>
  <c r="DE275" i="14"/>
  <c r="BF275" i="14"/>
  <c r="CW275" i="14"/>
  <c r="AU275" i="14"/>
  <c r="CD275" i="14"/>
  <c r="DM275" i="14"/>
  <c r="CU275" i="14"/>
  <c r="CP275" i="14"/>
  <c r="BE275" i="14"/>
  <c r="CX275" i="14"/>
  <c r="AV275" i="14"/>
  <c r="CO275" i="14"/>
  <c r="AP275" i="14"/>
  <c r="BY275" i="14"/>
  <c r="CN275" i="14"/>
  <c r="BU275" i="14"/>
  <c r="CI275" i="14"/>
  <c r="AW275" i="14"/>
  <c r="CS275" i="14"/>
  <c r="AQ275" i="14"/>
  <c r="CG275" i="14"/>
  <c r="DQ275" i="14"/>
  <c r="BT275" i="14"/>
  <c r="BP275" i="14"/>
  <c r="AT275" i="14"/>
  <c r="DN275" i="14"/>
  <c r="CA275" i="14"/>
  <c r="AO275" i="14"/>
  <c r="CC275" i="14"/>
  <c r="DT275" i="14"/>
  <c r="BV275" i="14"/>
  <c r="DG275" i="14"/>
  <c r="BG275" i="14"/>
  <c r="DH275" i="14"/>
  <c r="BZ275" i="14"/>
  <c r="DJ275" i="14"/>
  <c r="BW275" i="14"/>
  <c r="AH275" i="14"/>
  <c r="BX275" i="14"/>
  <c r="DO275" i="14"/>
  <c r="BQ275" i="14"/>
  <c r="CY275" i="14"/>
  <c r="AX275" i="14"/>
  <c r="CF275" i="14"/>
  <c r="DC275" i="14"/>
  <c r="DF275" i="14"/>
  <c r="BS275" i="14"/>
  <c r="DP275" i="14"/>
  <c r="BR275" i="14"/>
  <c r="DI275" i="14"/>
  <c r="BJ275" i="14"/>
  <c r="CT275" i="14"/>
  <c r="AR275" i="14"/>
  <c r="BH275" i="14"/>
  <c r="AS275" i="14"/>
  <c r="CH275" i="14"/>
  <c r="AI275" i="14"/>
  <c r="CB275" i="14"/>
  <c r="DL275" i="14"/>
  <c r="BL275" i="14"/>
  <c r="DR275" i="14"/>
  <c r="AK275" i="14"/>
  <c r="CE275" i="14"/>
  <c r="AY275" i="14"/>
  <c r="DS267" i="14"/>
  <c r="CX267" i="14"/>
  <c r="BK267" i="14"/>
  <c r="DF267" i="14"/>
  <c r="BF267" i="14"/>
  <c r="CP267" i="14"/>
  <c r="AP267" i="14"/>
  <c r="CE267" i="14"/>
  <c r="DI267" i="14"/>
  <c r="BP267" i="14"/>
  <c r="CT267" i="14"/>
  <c r="BG267" i="14"/>
  <c r="CY267" i="14"/>
  <c r="AW267" i="14"/>
  <c r="CH267" i="14"/>
  <c r="AH267" i="14"/>
  <c r="BZ267" i="14"/>
  <c r="CF267" i="14"/>
  <c r="AO267" i="14"/>
  <c r="CN267" i="14"/>
  <c r="AY267" i="14"/>
  <c r="CS267" i="14"/>
  <c r="AR267" i="14"/>
  <c r="CB267" i="14"/>
  <c r="DR267" i="14"/>
  <c r="BT267" i="14"/>
  <c r="BI267" i="14"/>
  <c r="DT267" i="14"/>
  <c r="CG267" i="14"/>
  <c r="AU267" i="14"/>
  <c r="CI267" i="14"/>
  <c r="AI267" i="14"/>
  <c r="BW267" i="14"/>
  <c r="DM267" i="14"/>
  <c r="BM267" i="14"/>
  <c r="DC267" i="14"/>
  <c r="DP267" i="14"/>
  <c r="CC267" i="14"/>
  <c r="AQ267" i="14"/>
  <c r="CD267" i="14"/>
  <c r="DO267" i="14"/>
  <c r="BR267" i="14"/>
  <c r="DG267" i="14"/>
  <c r="BH267" i="14"/>
  <c r="CA267" i="14"/>
  <c r="DL267" i="14"/>
  <c r="BY267" i="14"/>
  <c r="AJ267" i="14"/>
  <c r="BX267" i="14"/>
  <c r="DJ267" i="14"/>
  <c r="BJ267" i="14"/>
  <c r="DB267" i="14"/>
  <c r="AX267" i="14"/>
  <c r="BD267" i="14"/>
  <c r="DH267" i="14"/>
  <c r="BU267" i="14"/>
  <c r="DQ267" i="14"/>
  <c r="BS267" i="14"/>
  <c r="DE267" i="14"/>
  <c r="BE267" i="14"/>
  <c r="CU267" i="14"/>
  <c r="AS267" i="14"/>
  <c r="DN267" i="14"/>
  <c r="DD267" i="14"/>
  <c r="BQ267" i="14"/>
  <c r="DK267" i="14"/>
  <c r="BL267" i="14"/>
  <c r="CW267" i="14"/>
  <c r="AV267" i="14"/>
  <c r="CJ267" i="14"/>
  <c r="AK267" i="14"/>
  <c r="CO267" i="14"/>
  <c r="CV267" i="14"/>
  <c r="AT267" i="14"/>
  <c r="BV267" i="14"/>
  <c r="DR263" i="14"/>
  <c r="DK263" i="14"/>
  <c r="BX263" i="14"/>
  <c r="DP263" i="14"/>
  <c r="BR263" i="14"/>
  <c r="DI263" i="14"/>
  <c r="BI263" i="14"/>
  <c r="CY263" i="14"/>
  <c r="AW263" i="14"/>
  <c r="AY263" i="14"/>
  <c r="DC263" i="14"/>
  <c r="BP263" i="14"/>
  <c r="DE263" i="14"/>
  <c r="BE263" i="14"/>
  <c r="CV263" i="14"/>
  <c r="AU263" i="14"/>
  <c r="CI263" i="14"/>
  <c r="AJ263" i="14"/>
  <c r="CN263" i="14"/>
  <c r="CW263" i="14"/>
  <c r="BJ263" i="14"/>
  <c r="CX263" i="14"/>
  <c r="AV263" i="14"/>
  <c r="CO263" i="14"/>
  <c r="AO263" i="14"/>
  <c r="CD263" i="14"/>
  <c r="DH263" i="14"/>
  <c r="BM263" i="14"/>
  <c r="CJ263" i="14"/>
  <c r="AX263" i="14"/>
  <c r="CH263" i="14"/>
  <c r="AI263" i="14"/>
  <c r="CA263" i="14"/>
  <c r="DQ263" i="14"/>
  <c r="BS263" i="14"/>
  <c r="BH263" i="14"/>
  <c r="CU263" i="14"/>
  <c r="DO263" i="14"/>
  <c r="CB263" i="14"/>
  <c r="AP263" i="14"/>
  <c r="BW263" i="14"/>
  <c r="DN263" i="14"/>
  <c r="BQ263" i="14"/>
  <c r="DF263" i="14"/>
  <c r="BG263" i="14"/>
  <c r="BZ263" i="14"/>
  <c r="AT263" i="14"/>
  <c r="CG263" i="14"/>
  <c r="AR263" i="14"/>
  <c r="DJ263" i="14"/>
  <c r="BV263" i="14"/>
  <c r="CE263" i="14"/>
  <c r="DS263" i="14"/>
  <c r="CP263" i="14"/>
  <c r="BD263" i="14"/>
  <c r="DB263" i="14"/>
  <c r="DG263" i="14"/>
  <c r="CC263" i="14"/>
  <c r="AH263" i="14"/>
  <c r="DM263" i="14"/>
  <c r="CS263" i="14"/>
  <c r="BK263" i="14"/>
  <c r="DL263" i="14"/>
  <c r="AK263" i="14"/>
  <c r="CF263" i="14"/>
  <c r="AQ263" i="14"/>
  <c r="CT263" i="14"/>
  <c r="BT263" i="14"/>
  <c r="DT263" i="14"/>
  <c r="BY263" i="14"/>
  <c r="BF263" i="14"/>
  <c r="DD263" i="14"/>
  <c r="BL263" i="14"/>
  <c r="AS263" i="14"/>
  <c r="BU263" i="14"/>
  <c r="CP274" i="14"/>
  <c r="BE274" i="14"/>
  <c r="DH274" i="14"/>
  <c r="BU274" i="14"/>
  <c r="DS274" i="14"/>
  <c r="AT274" i="14"/>
  <c r="BL274" i="14"/>
  <c r="BR274" i="14"/>
  <c r="DO274" i="14"/>
  <c r="CI274" i="14"/>
  <c r="AW274" i="14"/>
  <c r="DD274" i="14"/>
  <c r="BQ274" i="14"/>
  <c r="DK274" i="14"/>
  <c r="AI274" i="14"/>
  <c r="BD274" i="14"/>
  <c r="BH274" i="14"/>
  <c r="CB274" i="14"/>
  <c r="DR274" i="14"/>
  <c r="CE274" i="14"/>
  <c r="AS274" i="14"/>
  <c r="CX274" i="14"/>
  <c r="BK274" i="14"/>
  <c r="DC274" i="14"/>
  <c r="DQ274" i="14"/>
  <c r="AR274" i="14"/>
  <c r="AV274" i="14"/>
  <c r="AP274" i="14"/>
  <c r="DN274" i="14"/>
  <c r="CA274" i="14"/>
  <c r="AO274" i="14"/>
  <c r="CT274" i="14"/>
  <c r="BG274" i="14"/>
  <c r="CS274" i="14"/>
  <c r="DI274" i="14"/>
  <c r="DM274" i="14"/>
  <c r="AK274" i="14"/>
  <c r="AX274" i="14"/>
  <c r="DJ274" i="14"/>
  <c r="BW274" i="14"/>
  <c r="AH274" i="14"/>
  <c r="CN274" i="14"/>
  <c r="AY274" i="14"/>
  <c r="CF274" i="14"/>
  <c r="CY274" i="14"/>
  <c r="DE274" i="14"/>
  <c r="DG274" i="14"/>
  <c r="CJ274" i="14"/>
  <c r="DF274" i="14"/>
  <c r="BS274" i="14"/>
  <c r="DT274" i="14"/>
  <c r="CG274" i="14"/>
  <c r="AU274" i="14"/>
  <c r="BX274" i="14"/>
  <c r="CO274" i="14"/>
  <c r="CU274" i="14"/>
  <c r="BT274" i="14"/>
  <c r="DB274" i="14"/>
  <c r="BM274" i="14"/>
  <c r="DP274" i="14"/>
  <c r="CC274" i="14"/>
  <c r="AQ274" i="14"/>
  <c r="BP274" i="14"/>
  <c r="CD274" i="14"/>
  <c r="CH274" i="14"/>
  <c r="CW274" i="14"/>
  <c r="CV274" i="14"/>
  <c r="BI274" i="14"/>
  <c r="DL274" i="14"/>
  <c r="BY274" i="14"/>
  <c r="AJ274" i="14"/>
  <c r="BF274" i="14"/>
  <c r="BV274" i="14"/>
  <c r="BZ274" i="14"/>
  <c r="BJ274" i="14"/>
  <c r="D272" i="14"/>
  <c r="EO43" i="14"/>
  <c r="EB43" i="14"/>
  <c r="AT43" i="14"/>
  <c r="EA43" i="14"/>
  <c r="EN43" i="14"/>
  <c r="EP43" i="14" s="1"/>
  <c r="G272" i="14" s="1"/>
  <c r="A43" i="14"/>
  <c r="EO39" i="14"/>
  <c r="D268" i="14"/>
  <c r="EB39" i="14"/>
  <c r="EA39" i="14"/>
  <c r="EN39" i="14"/>
  <c r="EP39" i="14" s="1"/>
  <c r="G268" i="14" s="1"/>
  <c r="AT39" i="14"/>
  <c r="A39" i="14"/>
  <c r="BG255" i="14"/>
  <c r="BY255" i="14"/>
  <c r="DJ255" i="14"/>
  <c r="BW255" i="14"/>
  <c r="AH255" i="14"/>
  <c r="CH255" i="14"/>
  <c r="AV255" i="14"/>
  <c r="CW255" i="14"/>
  <c r="BJ255" i="14"/>
  <c r="CT255" i="14"/>
  <c r="DB255" i="14"/>
  <c r="BM255" i="14"/>
  <c r="DM255" i="14"/>
  <c r="BZ255" i="14"/>
  <c r="AK255" i="14"/>
  <c r="CJ255" i="14"/>
  <c r="AX255" i="14"/>
  <c r="CV255" i="14"/>
  <c r="BI255" i="14"/>
  <c r="DI255" i="14"/>
  <c r="BV255" i="14"/>
  <c r="DS255" i="14"/>
  <c r="CF255" i="14"/>
  <c r="AT255" i="14"/>
  <c r="AJ255" i="14"/>
  <c r="CI255" i="14"/>
  <c r="AW255" i="14"/>
  <c r="CY255" i="14"/>
  <c r="BL255" i="14"/>
  <c r="DK255" i="14"/>
  <c r="BX255" i="14"/>
  <c r="AI255" i="14"/>
  <c r="DN255" i="14"/>
  <c r="CA255" i="14"/>
  <c r="AO255" i="14"/>
  <c r="CO255" i="14"/>
  <c r="BD255" i="14"/>
  <c r="DC255" i="14"/>
  <c r="BP255" i="14"/>
  <c r="BU255" i="14"/>
  <c r="AS255" i="14"/>
  <c r="DO255" i="14"/>
  <c r="DQ255" i="14"/>
  <c r="DG255" i="14"/>
  <c r="DL255" i="14"/>
  <c r="DR255" i="14"/>
  <c r="DE255" i="14"/>
  <c r="CS255" i="14"/>
  <c r="AQ255" i="14"/>
  <c r="DF255" i="14"/>
  <c r="CU255" i="14"/>
  <c r="CB255" i="14"/>
  <c r="AY255" i="14"/>
  <c r="BK255" i="14"/>
  <c r="CP255" i="14"/>
  <c r="CD255" i="14"/>
  <c r="BT255" i="14"/>
  <c r="CN255" i="14"/>
  <c r="CE255" i="14"/>
  <c r="BR255" i="14"/>
  <c r="BF255" i="14"/>
  <c r="DH255" i="14"/>
  <c r="CX255" i="14"/>
  <c r="BS255" i="14"/>
  <c r="BH255" i="14"/>
  <c r="AP255" i="14"/>
  <c r="BE255" i="14"/>
  <c r="AR255" i="14"/>
  <c r="DT255" i="14"/>
  <c r="CC255" i="14"/>
  <c r="AU255" i="14"/>
  <c r="DP255" i="14"/>
  <c r="BQ255" i="14"/>
  <c r="CG255" i="14"/>
  <c r="DD255" i="14"/>
  <c r="EA41" i="14"/>
  <c r="A41" i="14"/>
  <c r="D270" i="14"/>
  <c r="EO41" i="14"/>
  <c r="EN41" i="14"/>
  <c r="EB41" i="14"/>
  <c r="AT41" i="14"/>
  <c r="EB26" i="14"/>
  <c r="EO26" i="14"/>
  <c r="D255" i="14"/>
  <c r="A26" i="14"/>
  <c r="EN26" i="14"/>
  <c r="AT26" i="14"/>
  <c r="EA26" i="14"/>
  <c r="DL273" i="14"/>
  <c r="BY273" i="14"/>
  <c r="AJ273" i="14"/>
  <c r="BW273" i="14"/>
  <c r="DN273" i="14"/>
  <c r="BP273" i="14"/>
  <c r="CY273" i="14"/>
  <c r="AW273" i="14"/>
  <c r="CE273" i="14"/>
  <c r="DB273" i="14"/>
  <c r="DH273" i="14"/>
  <c r="BU273" i="14"/>
  <c r="DO273" i="14"/>
  <c r="BR273" i="14"/>
  <c r="DI273" i="14"/>
  <c r="BI273" i="14"/>
  <c r="CS273" i="14"/>
  <c r="AR273" i="14"/>
  <c r="BH273" i="14"/>
  <c r="DD273" i="14"/>
  <c r="BQ273" i="14"/>
  <c r="DJ273" i="14"/>
  <c r="BJ273" i="14"/>
  <c r="DC273" i="14"/>
  <c r="BD273" i="14"/>
  <c r="CI273" i="14"/>
  <c r="AI273" i="14"/>
  <c r="DR273" i="14"/>
  <c r="CX273" i="14"/>
  <c r="BK273" i="14"/>
  <c r="DE273" i="14"/>
  <c r="BE273" i="14"/>
  <c r="CV273" i="14"/>
  <c r="AT273" i="14"/>
  <c r="CD273" i="14"/>
  <c r="DM273" i="14"/>
  <c r="CU273" i="14"/>
  <c r="CT273" i="14"/>
  <c r="BG273" i="14"/>
  <c r="CW273" i="14"/>
  <c r="AV273" i="14"/>
  <c r="CO273" i="14"/>
  <c r="AO273" i="14"/>
  <c r="BX273" i="14"/>
  <c r="CJ273" i="14"/>
  <c r="BT273" i="14"/>
  <c r="CN273" i="14"/>
  <c r="AY273" i="14"/>
  <c r="CP273" i="14"/>
  <c r="AP273" i="14"/>
  <c r="CF273" i="14"/>
  <c r="DQ273" i="14"/>
  <c r="BS273" i="14"/>
  <c r="BM273" i="14"/>
  <c r="AS273" i="14"/>
  <c r="DT273" i="14"/>
  <c r="CG273" i="14"/>
  <c r="AU273" i="14"/>
  <c r="CH273" i="14"/>
  <c r="AH273" i="14"/>
  <c r="CA273" i="14"/>
  <c r="DK273" i="14"/>
  <c r="BL273" i="14"/>
  <c r="AK273" i="14"/>
  <c r="BZ273" i="14"/>
  <c r="DP273" i="14"/>
  <c r="CC273" i="14"/>
  <c r="AQ273" i="14"/>
  <c r="CB273" i="14"/>
  <c r="DS273" i="14"/>
  <c r="BV273" i="14"/>
  <c r="DF273" i="14"/>
  <c r="BF273" i="14"/>
  <c r="DG273" i="14"/>
  <c r="AX273" i="14"/>
  <c r="AT32" i="14"/>
  <c r="EN32" i="14"/>
  <c r="EA32" i="14"/>
  <c r="EO32" i="14"/>
  <c r="D261" i="14"/>
  <c r="A32" i="14"/>
  <c r="EB32" i="14"/>
  <c r="EC32" i="14" s="1"/>
  <c r="ED32" i="14" s="1"/>
  <c r="Q261" i="14" s="1"/>
  <c r="CT272" i="14"/>
  <c r="BG272" i="14"/>
  <c r="DG272" i="14"/>
  <c r="DQ272" i="14"/>
  <c r="CD272" i="14"/>
  <c r="AR272" i="14"/>
  <c r="DR272" i="14"/>
  <c r="CP272" i="14"/>
  <c r="BP272" i="14"/>
  <c r="CN272" i="14"/>
  <c r="AY272" i="14"/>
  <c r="DC272" i="14"/>
  <c r="DM272" i="14"/>
  <c r="BZ272" i="14"/>
  <c r="AK272" i="14"/>
  <c r="DB272" i="14"/>
  <c r="BW272" i="14"/>
  <c r="CV272" i="14"/>
  <c r="DP272" i="14"/>
  <c r="CC272" i="14"/>
  <c r="AQ272" i="14"/>
  <c r="CS272" i="14"/>
  <c r="DE272" i="14"/>
  <c r="BR272" i="14"/>
  <c r="CI272" i="14"/>
  <c r="BS272" i="14"/>
  <c r="BE272" i="14"/>
  <c r="DN272" i="14"/>
  <c r="DH272" i="14"/>
  <c r="BU272" i="14"/>
  <c r="DS272" i="14"/>
  <c r="CF272" i="14"/>
  <c r="CU272" i="14"/>
  <c r="BH272" i="14"/>
  <c r="BJ272" i="14"/>
  <c r="AW272" i="14"/>
  <c r="AH272" i="14"/>
  <c r="DL272" i="14"/>
  <c r="AJ272" i="14"/>
  <c r="CY272" i="14"/>
  <c r="BT272" i="14"/>
  <c r="AS272" i="14"/>
  <c r="DD272" i="14"/>
  <c r="DO272" i="14"/>
  <c r="CO272" i="14"/>
  <c r="AX272" i="14"/>
  <c r="CA272" i="14"/>
  <c r="CX272" i="14"/>
  <c r="DK272" i="14"/>
  <c r="CH272" i="14"/>
  <c r="AP272" i="14"/>
  <c r="AI272" i="14"/>
  <c r="BF272" i="14"/>
  <c r="CG272" i="14"/>
  <c r="CW272" i="14"/>
  <c r="BV272" i="14"/>
  <c r="CE272" i="14"/>
  <c r="AT272" i="14"/>
  <c r="BY272" i="14"/>
  <c r="CJ272" i="14"/>
  <c r="BL272" i="14"/>
  <c r="BI272" i="14"/>
  <c r="BQ272" i="14"/>
  <c r="CB272" i="14"/>
  <c r="BD272" i="14"/>
  <c r="AO272" i="14"/>
  <c r="BK272" i="14"/>
  <c r="BX272" i="14"/>
  <c r="AV272" i="14"/>
  <c r="DJ272" i="14"/>
  <c r="DT272" i="14"/>
  <c r="AU272" i="14"/>
  <c r="DI272" i="14"/>
  <c r="DF272" i="14"/>
  <c r="BM272" i="14"/>
  <c r="AW264" i="14"/>
  <c r="DI264" i="14"/>
  <c r="BV264" i="14"/>
  <c r="DS264" i="14"/>
  <c r="CY264" i="14"/>
  <c r="BL264" i="14"/>
  <c r="DH264" i="14"/>
  <c r="BI264" i="14"/>
  <c r="CT264" i="14"/>
  <c r="AS264" i="14"/>
  <c r="CG264" i="14"/>
  <c r="AH264" i="14"/>
  <c r="DP264" i="14"/>
  <c r="CU264" i="14"/>
  <c r="BH264" i="14"/>
  <c r="DC264" i="14"/>
  <c r="AY264" i="14"/>
  <c r="CJ264" i="14"/>
  <c r="AJ264" i="14"/>
  <c r="CB264" i="14"/>
  <c r="DK264" i="14"/>
  <c r="CS264" i="14"/>
  <c r="CH264" i="14"/>
  <c r="AV264" i="14"/>
  <c r="CN264" i="14"/>
  <c r="AO264" i="14"/>
  <c r="BY264" i="14"/>
  <c r="DO264" i="14"/>
  <c r="BQ264" i="14"/>
  <c r="BK264" i="14"/>
  <c r="AQ264" i="14"/>
  <c r="DM264" i="14"/>
  <c r="BZ264" i="14"/>
  <c r="AK264" i="14"/>
  <c r="CA264" i="14"/>
  <c r="DL264" i="14"/>
  <c r="BM264" i="14"/>
  <c r="DD264" i="14"/>
  <c r="BE264" i="14"/>
  <c r="DF264" i="14"/>
  <c r="CD264" i="14"/>
  <c r="BP264" i="14"/>
  <c r="AX264" i="14"/>
  <c r="AP264" i="14"/>
  <c r="BR264" i="14"/>
  <c r="AT264" i="14"/>
  <c r="DT264" i="14"/>
  <c r="CI264" i="14"/>
  <c r="BD264" i="14"/>
  <c r="DR264" i="14"/>
  <c r="DJ264" i="14"/>
  <c r="AI264" i="14"/>
  <c r="AR264" i="14"/>
  <c r="DG264" i="14"/>
  <c r="CW264" i="14"/>
  <c r="CC264" i="14"/>
  <c r="DN264" i="14"/>
  <c r="DB264" i="14"/>
  <c r="CP264" i="14"/>
  <c r="BF264" i="14"/>
  <c r="DQ264" i="14"/>
  <c r="CV264" i="14"/>
  <c r="CE264" i="14"/>
  <c r="BW264" i="14"/>
  <c r="BS264" i="14"/>
  <c r="DE264" i="14"/>
  <c r="CF264" i="14"/>
  <c r="BT264" i="14"/>
  <c r="BJ264" i="14"/>
  <c r="CO264" i="14"/>
  <c r="BU264" i="14"/>
  <c r="BG264" i="14"/>
  <c r="AU264" i="14"/>
  <c r="BX264" i="14"/>
  <c r="CX264" i="14"/>
  <c r="DQ261" i="14"/>
  <c r="CY261" i="14"/>
  <c r="AR261" i="14"/>
  <c r="DC261" i="14"/>
  <c r="BP261" i="14"/>
  <c r="DN261" i="14"/>
  <c r="CW261" i="14"/>
  <c r="BJ261" i="14"/>
  <c r="DJ261" i="14"/>
  <c r="BW261" i="14"/>
  <c r="AH261" i="14"/>
  <c r="CN261" i="14"/>
  <c r="CJ261" i="14"/>
  <c r="AX261" i="14"/>
  <c r="DB261" i="14"/>
  <c r="DO261" i="14"/>
  <c r="CB261" i="14"/>
  <c r="AP261" i="14"/>
  <c r="CP261" i="14"/>
  <c r="BE261" i="14"/>
  <c r="DH261" i="14"/>
  <c r="CF261" i="14"/>
  <c r="CV261" i="14"/>
  <c r="AS261" i="14"/>
  <c r="CG261" i="14"/>
  <c r="AU261" i="14"/>
  <c r="CH261" i="14"/>
  <c r="BT261" i="14"/>
  <c r="CE261" i="14"/>
  <c r="DT261" i="14"/>
  <c r="BY261" i="14"/>
  <c r="AJ261" i="14"/>
  <c r="AV261" i="14"/>
  <c r="BF261" i="14"/>
  <c r="CA261" i="14"/>
  <c r="DP261" i="14"/>
  <c r="BU261" i="14"/>
  <c r="DI261" i="14"/>
  <c r="DM261" i="14"/>
  <c r="DS261" i="14"/>
  <c r="AT261" i="14"/>
  <c r="BS261" i="14"/>
  <c r="DL261" i="14"/>
  <c r="BQ261" i="14"/>
  <c r="DK261" i="14"/>
  <c r="AI261" i="14"/>
  <c r="BM261" i="14"/>
  <c r="DD261" i="14"/>
  <c r="BK261" i="14"/>
  <c r="BV261" i="14"/>
  <c r="BZ261" i="14"/>
  <c r="CS261" i="14"/>
  <c r="DF261" i="14"/>
  <c r="AW261" i="14"/>
  <c r="CT261" i="14"/>
  <c r="AY261" i="14"/>
  <c r="DE261" i="14"/>
  <c r="AK261" i="14"/>
  <c r="DR261" i="14"/>
  <c r="CO261" i="14"/>
  <c r="BL261" i="14"/>
  <c r="CI261" i="14"/>
  <c r="BD261" i="14"/>
  <c r="BI261" i="14"/>
  <c r="BR261" i="14"/>
  <c r="AO261" i="14"/>
  <c r="CU261" i="14"/>
  <c r="CX261" i="14"/>
  <c r="BH261" i="14"/>
  <c r="CC261" i="14"/>
  <c r="DG261" i="14"/>
  <c r="BG261" i="14"/>
  <c r="CD261" i="14"/>
  <c r="BX261" i="14"/>
  <c r="AQ261" i="14"/>
  <c r="CT271" i="14"/>
  <c r="BG271" i="14"/>
  <c r="DG271" i="14"/>
  <c r="BT271" i="14"/>
  <c r="DQ271" i="14"/>
  <c r="CD271" i="14"/>
  <c r="AR271" i="14"/>
  <c r="CI271" i="14"/>
  <c r="CE271" i="14"/>
  <c r="CN271" i="14"/>
  <c r="AY271" i="14"/>
  <c r="DC271" i="14"/>
  <c r="BP271" i="14"/>
  <c r="DM271" i="14"/>
  <c r="BZ271" i="14"/>
  <c r="AK271" i="14"/>
  <c r="BS271" i="14"/>
  <c r="BM271" i="14"/>
  <c r="DT271" i="14"/>
  <c r="CG271" i="14"/>
  <c r="AU271" i="14"/>
  <c r="CW271" i="14"/>
  <c r="BJ271" i="14"/>
  <c r="DI271" i="14"/>
  <c r="BV271" i="14"/>
  <c r="DJ271" i="14"/>
  <c r="AW271" i="14"/>
  <c r="DB271" i="14"/>
  <c r="DP271" i="14"/>
  <c r="CC271" i="14"/>
  <c r="AQ271" i="14"/>
  <c r="CS271" i="14"/>
  <c r="BF271" i="14"/>
  <c r="DE271" i="14"/>
  <c r="BR271" i="14"/>
  <c r="CP271" i="14"/>
  <c r="DN271" i="14"/>
  <c r="DL271" i="14"/>
  <c r="BY271" i="14"/>
  <c r="AJ271" i="14"/>
  <c r="CJ271" i="14"/>
  <c r="AX271" i="14"/>
  <c r="CY271" i="14"/>
  <c r="BL271" i="14"/>
  <c r="BW271" i="14"/>
  <c r="CV271" i="14"/>
  <c r="DH271" i="14"/>
  <c r="BU271" i="14"/>
  <c r="DS271" i="14"/>
  <c r="CF271" i="14"/>
  <c r="AT271" i="14"/>
  <c r="CU271" i="14"/>
  <c r="BH271" i="14"/>
  <c r="BE271" i="14"/>
  <c r="CA271" i="14"/>
  <c r="DD271" i="14"/>
  <c r="BQ271" i="14"/>
  <c r="DO271" i="14"/>
  <c r="CB271" i="14"/>
  <c r="AP271" i="14"/>
  <c r="CO271" i="14"/>
  <c r="BD271" i="14"/>
  <c r="AH271" i="14"/>
  <c r="BI271" i="14"/>
  <c r="CX271" i="14"/>
  <c r="BK271" i="14"/>
  <c r="DK271" i="14"/>
  <c r="BX271" i="14"/>
  <c r="AI271" i="14"/>
  <c r="CH271" i="14"/>
  <c r="AV271" i="14"/>
  <c r="DF271" i="14"/>
  <c r="AO271" i="14"/>
  <c r="DR271" i="14"/>
  <c r="AS271" i="14"/>
  <c r="DN256" i="14"/>
  <c r="AO256" i="14"/>
  <c r="DD256" i="14"/>
  <c r="BQ256" i="14"/>
  <c r="DO256" i="14"/>
  <c r="CB256" i="14"/>
  <c r="AP256" i="14"/>
  <c r="CO256" i="14"/>
  <c r="BD256" i="14"/>
  <c r="BI256" i="14"/>
  <c r="CX256" i="14"/>
  <c r="BK256" i="14"/>
  <c r="DK256" i="14"/>
  <c r="BX256" i="14"/>
  <c r="AI256" i="14"/>
  <c r="CH256" i="14"/>
  <c r="AV256" i="14"/>
  <c r="CV256" i="14"/>
  <c r="CN256" i="14"/>
  <c r="AY256" i="14"/>
  <c r="DC256" i="14"/>
  <c r="BP256" i="14"/>
  <c r="DM256" i="14"/>
  <c r="BZ256" i="14"/>
  <c r="AK256" i="14"/>
  <c r="DP256" i="14"/>
  <c r="CC256" i="14"/>
  <c r="AQ256" i="14"/>
  <c r="CS256" i="14"/>
  <c r="BF256" i="14"/>
  <c r="DE256" i="14"/>
  <c r="BR256" i="14"/>
  <c r="BM256" i="14"/>
  <c r="DL256" i="14"/>
  <c r="AJ256" i="14"/>
  <c r="AX256" i="14"/>
  <c r="BL256" i="14"/>
  <c r="DH256" i="14"/>
  <c r="DS256" i="14"/>
  <c r="AT256" i="14"/>
  <c r="BH256" i="14"/>
  <c r="CT256" i="14"/>
  <c r="DG256" i="14"/>
  <c r="DQ256" i="14"/>
  <c r="AR256" i="14"/>
  <c r="DF256" i="14"/>
  <c r="DB256" i="14"/>
  <c r="CG256" i="14"/>
  <c r="CW256" i="14"/>
  <c r="DI256" i="14"/>
  <c r="BY256" i="14"/>
  <c r="CJ256" i="14"/>
  <c r="CY256" i="14"/>
  <c r="CE256" i="14"/>
  <c r="BU256" i="14"/>
  <c r="CF256" i="14"/>
  <c r="CU256" i="14"/>
  <c r="DR256" i="14"/>
  <c r="CA256" i="14"/>
  <c r="BG256" i="14"/>
  <c r="BT256" i="14"/>
  <c r="CD256" i="14"/>
  <c r="DT256" i="14"/>
  <c r="AU256" i="14"/>
  <c r="BJ256" i="14"/>
  <c r="BV256" i="14"/>
  <c r="AW256" i="14"/>
  <c r="AH256" i="14"/>
  <c r="BE256" i="14"/>
  <c r="AS256" i="14"/>
  <c r="BW256" i="14"/>
  <c r="CP256" i="14"/>
  <c r="DJ256" i="14"/>
  <c r="BS256" i="14"/>
  <c r="CI256" i="14"/>
  <c r="D275" i="14"/>
  <c r="A46" i="14"/>
  <c r="EB46" i="14"/>
  <c r="EO46" i="14"/>
  <c r="AT46" i="14"/>
  <c r="EA46" i="14"/>
  <c r="EN46" i="14"/>
  <c r="DS260" i="14"/>
  <c r="AT260" i="14"/>
  <c r="CY260" i="14"/>
  <c r="BL260" i="14"/>
  <c r="DL260" i="14"/>
  <c r="BY260" i="14"/>
  <c r="AJ260" i="14"/>
  <c r="AX260" i="14"/>
  <c r="BI260" i="14"/>
  <c r="BW260" i="14"/>
  <c r="CF260" i="14"/>
  <c r="CU260" i="14"/>
  <c r="BH260" i="14"/>
  <c r="DH260" i="14"/>
  <c r="BU260" i="14"/>
  <c r="DO260" i="14"/>
  <c r="AP260" i="14"/>
  <c r="AW260" i="14"/>
  <c r="BM260" i="14"/>
  <c r="BF260" i="14"/>
  <c r="CH260" i="14"/>
  <c r="AV260" i="14"/>
  <c r="CX260" i="14"/>
  <c r="BK260" i="14"/>
  <c r="CW260" i="14"/>
  <c r="DF260" i="14"/>
  <c r="DR260" i="14"/>
  <c r="AS260" i="14"/>
  <c r="DM260" i="14"/>
  <c r="BZ260" i="14"/>
  <c r="AK260" i="14"/>
  <c r="CN260" i="14"/>
  <c r="AY260" i="14"/>
  <c r="CB260" i="14"/>
  <c r="CI260" i="14"/>
  <c r="DB260" i="14"/>
  <c r="BV260" i="14"/>
  <c r="CG260" i="14"/>
  <c r="BT260" i="14"/>
  <c r="CP260" i="14"/>
  <c r="BR260" i="14"/>
  <c r="CC260" i="14"/>
  <c r="BJ260" i="14"/>
  <c r="CE260" i="14"/>
  <c r="BD260" i="14"/>
  <c r="BQ260" i="14"/>
  <c r="DN260" i="14"/>
  <c r="BE260" i="14"/>
  <c r="DC260" i="14"/>
  <c r="DQ260" i="14"/>
  <c r="AR260" i="14"/>
  <c r="BG260" i="14"/>
  <c r="CV260" i="14"/>
  <c r="AH260" i="14"/>
  <c r="DI260" i="14"/>
  <c r="DT260" i="14"/>
  <c r="AU260" i="14"/>
  <c r="CA260" i="14"/>
  <c r="DE260" i="14"/>
  <c r="DP260" i="14"/>
  <c r="AQ260" i="14"/>
  <c r="BS260" i="14"/>
  <c r="CO260" i="14"/>
  <c r="DD260" i="14"/>
  <c r="DG260" i="14"/>
  <c r="AO260" i="14"/>
  <c r="CS260" i="14"/>
  <c r="CD260" i="14"/>
  <c r="CT260" i="14"/>
  <c r="CJ260" i="14"/>
  <c r="DJ260" i="14"/>
  <c r="AI260" i="14"/>
  <c r="BX260" i="14"/>
  <c r="DK260" i="14"/>
  <c r="BP260" i="14"/>
  <c r="DN270" i="14"/>
  <c r="CA270" i="14"/>
  <c r="AO270" i="14"/>
  <c r="CO270" i="14"/>
  <c r="BD270" i="14"/>
  <c r="DC270" i="14"/>
  <c r="BP270" i="14"/>
  <c r="DD270" i="14"/>
  <c r="AQ270" i="14"/>
  <c r="AJ270" i="14"/>
  <c r="BG270" i="14"/>
  <c r="DJ270" i="14"/>
  <c r="BW270" i="14"/>
  <c r="AH270" i="14"/>
  <c r="CH270" i="14"/>
  <c r="AV270" i="14"/>
  <c r="CW270" i="14"/>
  <c r="BJ270" i="14"/>
  <c r="CG270" i="14"/>
  <c r="DH270" i="14"/>
  <c r="DF270" i="14"/>
  <c r="BS270" i="14"/>
  <c r="DQ270" i="14"/>
  <c r="CD270" i="14"/>
  <c r="AR270" i="14"/>
  <c r="CS270" i="14"/>
  <c r="BF270" i="14"/>
  <c r="BQ270" i="14"/>
  <c r="CN270" i="14"/>
  <c r="DB270" i="14"/>
  <c r="BM270" i="14"/>
  <c r="DM270" i="14"/>
  <c r="BZ270" i="14"/>
  <c r="AK270" i="14"/>
  <c r="CJ270" i="14"/>
  <c r="AX270" i="14"/>
  <c r="AU270" i="14"/>
  <c r="BU270" i="14"/>
  <c r="CV270" i="14"/>
  <c r="BI270" i="14"/>
  <c r="DI270" i="14"/>
  <c r="BV270" i="14"/>
  <c r="DS270" i="14"/>
  <c r="CF270" i="14"/>
  <c r="AT270" i="14"/>
  <c r="DP270" i="14"/>
  <c r="AY270" i="14"/>
  <c r="CP270" i="14"/>
  <c r="BE270" i="14"/>
  <c r="DE270" i="14"/>
  <c r="BR270" i="14"/>
  <c r="DO270" i="14"/>
  <c r="CB270" i="14"/>
  <c r="AP270" i="14"/>
  <c r="CX270" i="14"/>
  <c r="CT270" i="14"/>
  <c r="CI270" i="14"/>
  <c r="AW270" i="14"/>
  <c r="CY270" i="14"/>
  <c r="BL270" i="14"/>
  <c r="DK270" i="14"/>
  <c r="BX270" i="14"/>
  <c r="AI270" i="14"/>
  <c r="CC270" i="14"/>
  <c r="BY270" i="14"/>
  <c r="DR270" i="14"/>
  <c r="CE270" i="14"/>
  <c r="AS270" i="14"/>
  <c r="CU270" i="14"/>
  <c r="BH270" i="14"/>
  <c r="DG270" i="14"/>
  <c r="BT270" i="14"/>
  <c r="DT270" i="14"/>
  <c r="BK270" i="14"/>
  <c r="DL270" i="14"/>
  <c r="AT44" i="14"/>
  <c r="EA44" i="14"/>
  <c r="D273" i="14"/>
  <c r="EN44" i="14"/>
  <c r="EB44" i="14"/>
  <c r="A44" i="14"/>
  <c r="EO44" i="14"/>
  <c r="F187" i="14"/>
  <c r="AH26" i="14"/>
  <c r="DF266" i="14"/>
  <c r="AW266" i="14"/>
  <c r="CI266" i="14"/>
  <c r="DT266" i="14"/>
  <c r="CG266" i="14"/>
  <c r="AU266" i="14"/>
  <c r="CW266" i="14"/>
  <c r="BJ266" i="14"/>
  <c r="DI266" i="14"/>
  <c r="BV266" i="14"/>
  <c r="DN266" i="14"/>
  <c r="BE266" i="14"/>
  <c r="DP266" i="14"/>
  <c r="CC266" i="14"/>
  <c r="AQ266" i="14"/>
  <c r="CS266" i="14"/>
  <c r="BF266" i="14"/>
  <c r="DE266" i="14"/>
  <c r="BR266" i="14"/>
  <c r="CV266" i="14"/>
  <c r="AH266" i="14"/>
  <c r="DL266" i="14"/>
  <c r="BY266" i="14"/>
  <c r="AJ266" i="14"/>
  <c r="CJ266" i="14"/>
  <c r="AX266" i="14"/>
  <c r="CY266" i="14"/>
  <c r="BL266" i="14"/>
  <c r="CA266" i="14"/>
  <c r="DR266" i="14"/>
  <c r="DH266" i="14"/>
  <c r="BU266" i="14"/>
  <c r="DS266" i="14"/>
  <c r="CF266" i="14"/>
  <c r="AT266" i="14"/>
  <c r="CU266" i="14"/>
  <c r="BH266" i="14"/>
  <c r="BI266" i="14"/>
  <c r="DB266" i="14"/>
  <c r="DD266" i="14"/>
  <c r="BQ266" i="14"/>
  <c r="DO266" i="14"/>
  <c r="CB266" i="14"/>
  <c r="AP266" i="14"/>
  <c r="CO266" i="14"/>
  <c r="BD266" i="14"/>
  <c r="AO266" i="14"/>
  <c r="CE266" i="14"/>
  <c r="CX266" i="14"/>
  <c r="BK266" i="14"/>
  <c r="DK266" i="14"/>
  <c r="BX266" i="14"/>
  <c r="AI266" i="14"/>
  <c r="CH266" i="14"/>
  <c r="AV266" i="14"/>
  <c r="DJ266" i="14"/>
  <c r="BM266" i="14"/>
  <c r="CT266" i="14"/>
  <c r="BG266" i="14"/>
  <c r="DG266" i="14"/>
  <c r="BT266" i="14"/>
  <c r="DQ266" i="14"/>
  <c r="CD266" i="14"/>
  <c r="AR266" i="14"/>
  <c r="CP266" i="14"/>
  <c r="AS266" i="14"/>
  <c r="BS266" i="14"/>
  <c r="CN266" i="14"/>
  <c r="AY266" i="14"/>
  <c r="DC266" i="14"/>
  <c r="BP266" i="14"/>
  <c r="DM266" i="14"/>
  <c r="BZ266" i="14"/>
  <c r="AK266" i="14"/>
  <c r="BW266" i="14"/>
  <c r="DF259" i="14"/>
  <c r="DG259" i="14"/>
  <c r="BT259" i="14"/>
  <c r="DT259" i="14"/>
  <c r="BV259" i="14"/>
  <c r="DH259" i="14"/>
  <c r="BH259" i="14"/>
  <c r="CP259" i="14"/>
  <c r="AQ259" i="14"/>
  <c r="CW259" i="14"/>
  <c r="BJ259" i="14"/>
  <c r="DI259" i="14"/>
  <c r="BI259" i="14"/>
  <c r="CU259" i="14"/>
  <c r="AS259" i="14"/>
  <c r="CC259" i="14"/>
  <c r="CS259" i="14"/>
  <c r="BF259" i="14"/>
  <c r="DD259" i="14"/>
  <c r="BD259" i="14"/>
  <c r="CN259" i="14"/>
  <c r="AK259" i="14"/>
  <c r="BW259" i="14"/>
  <c r="BG259" i="14"/>
  <c r="DS259" i="14"/>
  <c r="CF259" i="14"/>
  <c r="AT259" i="14"/>
  <c r="CO259" i="14"/>
  <c r="AO259" i="14"/>
  <c r="BZ259" i="14"/>
  <c r="DJ259" i="14"/>
  <c r="BK259" i="14"/>
  <c r="CD259" i="14"/>
  <c r="DK259" i="14"/>
  <c r="BX259" i="14"/>
  <c r="AI259" i="14"/>
  <c r="CA259" i="14"/>
  <c r="DM259" i="14"/>
  <c r="BM259" i="14"/>
  <c r="CX259" i="14"/>
  <c r="AV259" i="14"/>
  <c r="AW259" i="14"/>
  <c r="AP259" i="14"/>
  <c r="CE259" i="14"/>
  <c r="AH259" i="14"/>
  <c r="DN259" i="14"/>
  <c r="BU259" i="14"/>
  <c r="DO259" i="14"/>
  <c r="CV259" i="14"/>
  <c r="AY259" i="14"/>
  <c r="DC259" i="14"/>
  <c r="CG259" i="14"/>
  <c r="DP259" i="14"/>
  <c r="CJ259" i="14"/>
  <c r="BQ259" i="14"/>
  <c r="DE259" i="14"/>
  <c r="BY259" i="14"/>
  <c r="CB259" i="14"/>
  <c r="AU259" i="14"/>
  <c r="CH259" i="14"/>
  <c r="CY259" i="14"/>
  <c r="AJ259" i="14"/>
  <c r="BP259" i="14"/>
  <c r="DR259" i="14"/>
  <c r="BR259" i="14"/>
  <c r="AX259" i="14"/>
  <c r="DB259" i="14"/>
  <c r="BE259" i="14"/>
  <c r="CI259" i="14"/>
  <c r="BS259" i="14"/>
  <c r="CT259" i="14"/>
  <c r="DQ259" i="14"/>
  <c r="BL259" i="14"/>
  <c r="DL259" i="14"/>
  <c r="AR259" i="14"/>
  <c r="DI277" i="14"/>
  <c r="BV277" i="14"/>
  <c r="DS277" i="14"/>
  <c r="CF277" i="14"/>
  <c r="AT277" i="14"/>
  <c r="BW277" i="14"/>
  <c r="CN277" i="14"/>
  <c r="DD277" i="14"/>
  <c r="DF277" i="14"/>
  <c r="AW277" i="14"/>
  <c r="DE277" i="14"/>
  <c r="BR277" i="14"/>
  <c r="DO277" i="14"/>
  <c r="CB277" i="14"/>
  <c r="AP277" i="14"/>
  <c r="BM277" i="14"/>
  <c r="CC277" i="14"/>
  <c r="CT277" i="14"/>
  <c r="BS277" i="14"/>
  <c r="CY277" i="14"/>
  <c r="BL277" i="14"/>
  <c r="DK277" i="14"/>
  <c r="BX277" i="14"/>
  <c r="AI277" i="14"/>
  <c r="BE277" i="14"/>
  <c r="BU277" i="14"/>
  <c r="CG277" i="14"/>
  <c r="CV277" i="14"/>
  <c r="CU277" i="14"/>
  <c r="BH277" i="14"/>
  <c r="DG277" i="14"/>
  <c r="BT277" i="14"/>
  <c r="DR277" i="14"/>
  <c r="AS277" i="14"/>
  <c r="BK277" i="14"/>
  <c r="BY277" i="14"/>
  <c r="BI277" i="14"/>
  <c r="CO277" i="14"/>
  <c r="BD277" i="14"/>
  <c r="DC277" i="14"/>
  <c r="BP277" i="14"/>
  <c r="DJ277" i="14"/>
  <c r="AH277" i="14"/>
  <c r="AY277" i="14"/>
  <c r="BQ277" i="14"/>
  <c r="DN277" i="14"/>
  <c r="CH277" i="14"/>
  <c r="AV277" i="14"/>
  <c r="CW277" i="14"/>
  <c r="BJ277" i="14"/>
  <c r="DB277" i="14"/>
  <c r="DP277" i="14"/>
  <c r="AQ277" i="14"/>
  <c r="BG277" i="14"/>
  <c r="CA277" i="14"/>
  <c r="DQ277" i="14"/>
  <c r="CD277" i="14"/>
  <c r="AR277" i="14"/>
  <c r="CS277" i="14"/>
  <c r="BF277" i="14"/>
  <c r="CP277" i="14"/>
  <c r="DH277" i="14"/>
  <c r="DT277" i="14"/>
  <c r="AU277" i="14"/>
  <c r="AO277" i="14"/>
  <c r="DM277" i="14"/>
  <c r="BZ277" i="14"/>
  <c r="AK277" i="14"/>
  <c r="CJ277" i="14"/>
  <c r="AX277" i="14"/>
  <c r="CE277" i="14"/>
  <c r="CX277" i="14"/>
  <c r="DL277" i="14"/>
  <c r="AJ277" i="14"/>
  <c r="CI277" i="14"/>
  <c r="AW269" i="14"/>
  <c r="DT269" i="14"/>
  <c r="CG269" i="14"/>
  <c r="AU269" i="14"/>
  <c r="CW269" i="14"/>
  <c r="DP269" i="14"/>
  <c r="CC269" i="14"/>
  <c r="AQ269" i="14"/>
  <c r="CS269" i="14"/>
  <c r="BF269" i="14"/>
  <c r="DE269" i="14"/>
  <c r="BR269" i="14"/>
  <c r="CV269" i="14"/>
  <c r="AH269" i="14"/>
  <c r="DF269" i="14"/>
  <c r="DH269" i="14"/>
  <c r="BU269" i="14"/>
  <c r="DS269" i="14"/>
  <c r="CX269" i="14"/>
  <c r="BK269" i="14"/>
  <c r="DK269" i="14"/>
  <c r="BX269" i="14"/>
  <c r="AI269" i="14"/>
  <c r="CH269" i="14"/>
  <c r="AV269" i="14"/>
  <c r="DJ269" i="14"/>
  <c r="DD269" i="14"/>
  <c r="DO269" i="14"/>
  <c r="BJ269" i="14"/>
  <c r="CU269" i="14"/>
  <c r="AR269" i="14"/>
  <c r="BE269" i="14"/>
  <c r="CT269" i="14"/>
  <c r="DG269" i="14"/>
  <c r="AX269" i="14"/>
  <c r="CO269" i="14"/>
  <c r="AK269" i="14"/>
  <c r="DR269" i="14"/>
  <c r="CN269" i="14"/>
  <c r="DC269" i="14"/>
  <c r="AT269" i="14"/>
  <c r="CD269" i="14"/>
  <c r="DN269" i="14"/>
  <c r="DB269" i="14"/>
  <c r="BY269" i="14"/>
  <c r="CJ269" i="14"/>
  <c r="AP269" i="14"/>
  <c r="BZ269" i="14"/>
  <c r="CA269" i="14"/>
  <c r="CE269" i="14"/>
  <c r="BQ269" i="14"/>
  <c r="CF269" i="14"/>
  <c r="DQ269" i="14"/>
  <c r="BV269" i="14"/>
  <c r="BI269" i="14"/>
  <c r="BM269" i="14"/>
  <c r="BG269" i="14"/>
  <c r="CB269" i="14"/>
  <c r="DM269" i="14"/>
  <c r="BL269" i="14"/>
  <c r="AO269" i="14"/>
  <c r="AS269" i="14"/>
  <c r="AY269" i="14"/>
  <c r="BT269" i="14"/>
  <c r="DI269" i="14"/>
  <c r="BH269" i="14"/>
  <c r="CP269" i="14"/>
  <c r="CI269" i="14"/>
  <c r="DL269" i="14"/>
  <c r="AJ269" i="14"/>
  <c r="BP269" i="14"/>
  <c r="CY269" i="14"/>
  <c r="BD269" i="14"/>
  <c r="BW269" i="14"/>
  <c r="BS269" i="14"/>
  <c r="CN265" i="14"/>
  <c r="AY265" i="14"/>
  <c r="DP265" i="14"/>
  <c r="CI265" i="14"/>
  <c r="DR265" i="14"/>
  <c r="CE265" i="14"/>
  <c r="AS265" i="14"/>
  <c r="CW265" i="14"/>
  <c r="BJ265" i="14"/>
  <c r="DD265" i="14"/>
  <c r="DQ265" i="14"/>
  <c r="AR265" i="14"/>
  <c r="AV265" i="14"/>
  <c r="DN265" i="14"/>
  <c r="CA265" i="14"/>
  <c r="AO265" i="14"/>
  <c r="CS265" i="14"/>
  <c r="BF265" i="14"/>
  <c r="CT265" i="14"/>
  <c r="DI265" i="14"/>
  <c r="DM265" i="14"/>
  <c r="AK265" i="14"/>
  <c r="AQ265" i="14"/>
  <c r="DF265" i="14"/>
  <c r="BS265" i="14"/>
  <c r="DS265" i="14"/>
  <c r="CF265" i="14"/>
  <c r="AT265" i="14"/>
  <c r="BY265" i="14"/>
  <c r="CO265" i="14"/>
  <c r="CU265" i="14"/>
  <c r="CC265" i="14"/>
  <c r="DB265" i="14"/>
  <c r="CV265" i="14"/>
  <c r="BI265" i="14"/>
  <c r="DK265" i="14"/>
  <c r="BX265" i="14"/>
  <c r="AI265" i="14"/>
  <c r="BG265" i="14"/>
  <c r="BV265" i="14"/>
  <c r="BZ265" i="14"/>
  <c r="BM265" i="14"/>
  <c r="CB265" i="14"/>
  <c r="BQ265" i="14"/>
  <c r="CH265" i="14"/>
  <c r="BE265" i="14"/>
  <c r="BT265" i="14"/>
  <c r="AU265" i="14"/>
  <c r="BR265" i="14"/>
  <c r="AW265" i="14"/>
  <c r="BP265" i="14"/>
  <c r="AJ265" i="14"/>
  <c r="BH265" i="14"/>
  <c r="AH265" i="14"/>
  <c r="AX265" i="14"/>
  <c r="CY265" i="14"/>
  <c r="DO265" i="14"/>
  <c r="AP265" i="14"/>
  <c r="CD265" i="14"/>
  <c r="BK265" i="14"/>
  <c r="BU265" i="14"/>
  <c r="DJ265" i="14"/>
  <c r="DG265" i="14"/>
  <c r="DT265" i="14"/>
  <c r="BL265" i="14"/>
  <c r="CX265" i="14"/>
  <c r="DH265" i="14"/>
  <c r="CP265" i="14"/>
  <c r="DC265" i="14"/>
  <c r="DL265" i="14"/>
  <c r="BD265" i="14"/>
  <c r="BW265" i="14"/>
  <c r="CJ265" i="14"/>
  <c r="CG265" i="14"/>
  <c r="DE265" i="14"/>
  <c r="D267" i="14"/>
  <c r="A38" i="14"/>
  <c r="EB38" i="14"/>
  <c r="EO38" i="14"/>
  <c r="AT38" i="14"/>
  <c r="EA38" i="14"/>
  <c r="EN38" i="14"/>
  <c r="CT276" i="14"/>
  <c r="BG276" i="14"/>
  <c r="DF276" i="14"/>
  <c r="BS276" i="14"/>
  <c r="DQ276" i="14"/>
  <c r="AR276" i="14"/>
  <c r="AX276" i="14"/>
  <c r="BP276" i="14"/>
  <c r="DM276" i="14"/>
  <c r="CN276" i="14"/>
  <c r="AY276" i="14"/>
  <c r="DB276" i="14"/>
  <c r="BM276" i="14"/>
  <c r="DI276" i="14"/>
  <c r="DO276" i="14"/>
  <c r="AP276" i="14"/>
  <c r="BF276" i="14"/>
  <c r="BZ276" i="14"/>
  <c r="DP276" i="14"/>
  <c r="CC276" i="14"/>
  <c r="AQ276" i="14"/>
  <c r="CP276" i="14"/>
  <c r="BE276" i="14"/>
  <c r="CO276" i="14"/>
  <c r="CW276" i="14"/>
  <c r="DK276" i="14"/>
  <c r="AI276" i="14"/>
  <c r="CH276" i="14"/>
  <c r="DH276" i="14"/>
  <c r="BU276" i="14"/>
  <c r="DR276" i="14"/>
  <c r="CE276" i="14"/>
  <c r="AS276" i="14"/>
  <c r="BV276" i="14"/>
  <c r="CB276" i="14"/>
  <c r="CS276" i="14"/>
  <c r="BR276" i="14"/>
  <c r="DD276" i="14"/>
  <c r="DN276" i="14"/>
  <c r="AO276" i="14"/>
  <c r="BT276" i="14"/>
  <c r="CU276" i="14"/>
  <c r="CX276" i="14"/>
  <c r="DJ276" i="14"/>
  <c r="AH276" i="14"/>
  <c r="BJ276" i="14"/>
  <c r="BH276" i="14"/>
  <c r="CG276" i="14"/>
  <c r="CV276" i="14"/>
  <c r="CY276" i="14"/>
  <c r="DS276" i="14"/>
  <c r="AK276" i="14"/>
  <c r="BY276" i="14"/>
  <c r="CI276" i="14"/>
  <c r="CD276" i="14"/>
  <c r="DC276" i="14"/>
  <c r="AV276" i="14"/>
  <c r="BQ276" i="14"/>
  <c r="CA276" i="14"/>
  <c r="BL276" i="14"/>
  <c r="CF276" i="14"/>
  <c r="BK276" i="14"/>
  <c r="BW276" i="14"/>
  <c r="BD276" i="14"/>
  <c r="BX276" i="14"/>
  <c r="DT276" i="14"/>
  <c r="AU276" i="14"/>
  <c r="BI276" i="14"/>
  <c r="DG276" i="14"/>
  <c r="AT276" i="14"/>
  <c r="DL276" i="14"/>
  <c r="AJ276" i="14"/>
  <c r="AW276" i="14"/>
  <c r="CJ276" i="14"/>
  <c r="DE276" i="14"/>
  <c r="BK268" i="14"/>
  <c r="DJ268" i="14"/>
  <c r="BW268" i="14"/>
  <c r="CP268" i="14"/>
  <c r="CI268" i="14"/>
  <c r="AS268" i="14"/>
  <c r="CU268" i="14"/>
  <c r="BH268" i="14"/>
  <c r="CJ268" i="14"/>
  <c r="CN268" i="14"/>
  <c r="CG268" i="14"/>
  <c r="BG268" i="14"/>
  <c r="DP268" i="14"/>
  <c r="CE268" i="14"/>
  <c r="AO268" i="14"/>
  <c r="CO268" i="14"/>
  <c r="DS268" i="14"/>
  <c r="CF268" i="14"/>
  <c r="BU268" i="14"/>
  <c r="BQ268" i="14"/>
  <c r="AX268" i="14"/>
  <c r="AY268" i="14"/>
  <c r="CA268" i="14"/>
  <c r="AH268" i="14"/>
  <c r="CH268" i="14"/>
  <c r="DO268" i="14"/>
  <c r="CB268" i="14"/>
  <c r="BF268" i="14"/>
  <c r="BD268" i="14"/>
  <c r="AR268" i="14"/>
  <c r="DR268" i="14"/>
  <c r="BS268" i="14"/>
  <c r="DQ268" i="14"/>
  <c r="CD268" i="14"/>
  <c r="DK268" i="14"/>
  <c r="BX268" i="14"/>
  <c r="AV268" i="14"/>
  <c r="AU268" i="14"/>
  <c r="AJ268" i="14"/>
  <c r="DN268" i="14"/>
  <c r="BM268" i="14"/>
  <c r="DM268" i="14"/>
  <c r="BZ268" i="14"/>
  <c r="DG268" i="14"/>
  <c r="BT268" i="14"/>
  <c r="AQ268" i="14"/>
  <c r="AP268" i="14"/>
  <c r="CX268" i="14"/>
  <c r="DF268" i="14"/>
  <c r="BI268" i="14"/>
  <c r="DI268" i="14"/>
  <c r="BV268" i="14"/>
  <c r="DC268" i="14"/>
  <c r="BP268" i="14"/>
  <c r="AI268" i="14"/>
  <c r="DL268" i="14"/>
  <c r="AT268" i="14"/>
  <c r="DB268" i="14"/>
  <c r="BE268" i="14"/>
  <c r="DE268" i="14"/>
  <c r="BR268" i="14"/>
  <c r="CW268" i="14"/>
  <c r="BJ268" i="14"/>
  <c r="DT268" i="14"/>
  <c r="CT268" i="14"/>
  <c r="CC268" i="14"/>
  <c r="CV268" i="14"/>
  <c r="AW268" i="14"/>
  <c r="CY268" i="14"/>
  <c r="BL268" i="14"/>
  <c r="CS268" i="14"/>
  <c r="DH268" i="14"/>
  <c r="DD268" i="14"/>
  <c r="BY268" i="14"/>
  <c r="AK268" i="14"/>
  <c r="DY264" i="1"/>
  <c r="EA264" i="1" s="1"/>
  <c r="EX264" i="1" s="1"/>
  <c r="DF254" i="14"/>
  <c r="DJ254" i="14"/>
  <c r="CI254" i="14"/>
  <c r="BS254" i="14"/>
  <c r="AW254" i="14"/>
  <c r="CE254" i="14"/>
  <c r="DB254" i="14"/>
  <c r="AS254" i="14"/>
  <c r="BM254" i="14"/>
  <c r="DR254" i="14"/>
  <c r="CN254" i="14"/>
  <c r="AY254" i="14"/>
  <c r="DC254" i="14"/>
  <c r="BP254" i="14"/>
  <c r="DM254" i="14"/>
  <c r="BZ254" i="14"/>
  <c r="AK254" i="14"/>
  <c r="DT254" i="14"/>
  <c r="CG254" i="14"/>
  <c r="AU254" i="14"/>
  <c r="CW254" i="14"/>
  <c r="BJ254" i="14"/>
  <c r="DI254" i="14"/>
  <c r="BV254" i="14"/>
  <c r="DL254" i="14"/>
  <c r="BY254" i="14"/>
  <c r="AJ254" i="14"/>
  <c r="CJ254" i="14"/>
  <c r="AX254" i="14"/>
  <c r="CY254" i="14"/>
  <c r="BL254" i="14"/>
  <c r="BE254" i="14"/>
  <c r="DD254" i="14"/>
  <c r="BQ254" i="14"/>
  <c r="DO254" i="14"/>
  <c r="CB254" i="14"/>
  <c r="AP254" i="14"/>
  <c r="CO254" i="14"/>
  <c r="BD254" i="14"/>
  <c r="CC254" i="14"/>
  <c r="CS254" i="14"/>
  <c r="DE254" i="14"/>
  <c r="BI254" i="14"/>
  <c r="AH254" i="14"/>
  <c r="BU254" i="14"/>
  <c r="CF254" i="14"/>
  <c r="CU254" i="14"/>
  <c r="CA254" i="14"/>
  <c r="BW254" i="14"/>
  <c r="BK254" i="14"/>
  <c r="BX254" i="14"/>
  <c r="CH254" i="14"/>
  <c r="CV254" i="14"/>
  <c r="CP254" i="14"/>
  <c r="BG254" i="14"/>
  <c r="BT254" i="14"/>
  <c r="CD254" i="14"/>
  <c r="DN254" i="14"/>
  <c r="DP254" i="14"/>
  <c r="AQ254" i="14"/>
  <c r="BF254" i="14"/>
  <c r="BR254" i="14"/>
  <c r="DH254" i="14"/>
  <c r="DS254" i="14"/>
  <c r="AT254" i="14"/>
  <c r="BH254" i="14"/>
  <c r="CX254" i="14"/>
  <c r="DK254" i="14"/>
  <c r="AI254" i="14"/>
  <c r="AV254" i="14"/>
  <c r="CT254" i="14"/>
  <c r="DG254" i="14"/>
  <c r="DQ254" i="14"/>
  <c r="AR254" i="14"/>
  <c r="AO254" i="14"/>
  <c r="F188" i="14"/>
  <c r="AH27" i="14"/>
  <c r="F185" i="14"/>
  <c r="AH25" i="14"/>
  <c r="AH243" i="14"/>
  <c r="AO243" i="14" s="1"/>
  <c r="AH36" i="14"/>
  <c r="Z253" i="14"/>
  <c r="AA24" i="14"/>
  <c r="EY253" i="14"/>
  <c r="BU24" i="14"/>
  <c r="BU51" i="14" s="1"/>
  <c r="EG253" i="14"/>
  <c r="BQ253" i="14"/>
  <c r="DD253" i="14"/>
  <c r="CG253" i="14"/>
  <c r="AU253" i="14"/>
  <c r="DT253" i="14"/>
  <c r="DP253" i="14"/>
  <c r="CX253" i="14"/>
  <c r="DR253" i="14"/>
  <c r="DB253" i="14"/>
  <c r="CE253" i="14"/>
  <c r="BM253" i="14"/>
  <c r="DM253" i="14"/>
  <c r="CU253" i="14"/>
  <c r="BZ253" i="14"/>
  <c r="BH253" i="14"/>
  <c r="AK253" i="14"/>
  <c r="DG253" i="14"/>
  <c r="CJ253" i="14"/>
  <c r="BT253" i="14"/>
  <c r="AX253" i="14"/>
  <c r="CN253" i="14"/>
  <c r="AJ253" i="14"/>
  <c r="DL253" i="14"/>
  <c r="DN253" i="14"/>
  <c r="BI253" i="14"/>
  <c r="DI253" i="14"/>
  <c r="BD253" i="14"/>
  <c r="DC253" i="14"/>
  <c r="AT253" i="14"/>
  <c r="DH253" i="14"/>
  <c r="BG253" i="14"/>
  <c r="BK253" i="14"/>
  <c r="DJ253" i="14"/>
  <c r="CP253" i="14"/>
  <c r="BW253" i="14"/>
  <c r="BE253" i="14"/>
  <c r="AH253" i="14"/>
  <c r="DE253" i="14"/>
  <c r="CH253" i="14"/>
  <c r="BR253" i="14"/>
  <c r="AV253" i="14"/>
  <c r="DO253" i="14"/>
  <c r="CW253" i="14"/>
  <c r="CB253" i="14"/>
  <c r="BJ253" i="14"/>
  <c r="AP253" i="14"/>
  <c r="AY253" i="14"/>
  <c r="BY253" i="14"/>
  <c r="AQ253" i="14"/>
  <c r="CV253" i="14"/>
  <c r="AO253" i="14"/>
  <c r="BV253" i="14"/>
  <c r="CF253" i="14"/>
  <c r="CC253" i="14"/>
  <c r="DF253" i="14"/>
  <c r="CI253" i="14"/>
  <c r="BS253" i="14"/>
  <c r="AW253" i="14"/>
  <c r="DQ253" i="14"/>
  <c r="CY253" i="14"/>
  <c r="CD253" i="14"/>
  <c r="BL253" i="14"/>
  <c r="AR253" i="14"/>
  <c r="DK253" i="14"/>
  <c r="CS253" i="14"/>
  <c r="BX253" i="14"/>
  <c r="BF253" i="14"/>
  <c r="AI253" i="14"/>
  <c r="BU253" i="14"/>
  <c r="CT253" i="14"/>
  <c r="AS253" i="14"/>
  <c r="CA253" i="14"/>
  <c r="CO253" i="14"/>
  <c r="DS253" i="14"/>
  <c r="BP253" i="14"/>
  <c r="E262" i="14"/>
  <c r="S261" i="14"/>
  <c r="EH31" i="14"/>
  <c r="EK31" i="14" s="1"/>
  <c r="T48" i="1"/>
  <c r="AE48" i="1" s="1"/>
  <c r="EP30" i="1"/>
  <c r="G266" i="1" s="1"/>
  <c r="EP44" i="1"/>
  <c r="G280" i="1" s="1"/>
  <c r="EP26" i="1"/>
  <c r="G262" i="1" s="1"/>
  <c r="AX149" i="8"/>
  <c r="AZ24" i="8"/>
  <c r="AM151" i="8"/>
  <c r="AM154" i="8"/>
  <c r="AM152" i="8"/>
  <c r="AT28" i="8"/>
  <c r="AX152" i="8"/>
  <c r="AX154" i="8"/>
  <c r="EP27" i="1"/>
  <c r="G263" i="1" s="1"/>
  <c r="EP25" i="1"/>
  <c r="G261" i="1" s="1"/>
  <c r="N22" i="6"/>
  <c r="C15" i="6" s="1"/>
  <c r="C17" i="6" s="1"/>
  <c r="DY278" i="1"/>
  <c r="C278" i="1" s="1"/>
  <c r="T278" i="1" s="1"/>
  <c r="DY282" i="1"/>
  <c r="C282" i="1" s="1"/>
  <c r="T282" i="1" s="1"/>
  <c r="DY267" i="1"/>
  <c r="EA267" i="1" s="1"/>
  <c r="EC28" i="1"/>
  <c r="ED28" i="1" s="1"/>
  <c r="Q264" i="1" s="1"/>
  <c r="DY262" i="1"/>
  <c r="EA262" i="1" s="1"/>
  <c r="AZ28" i="8"/>
  <c r="T42" i="1"/>
  <c r="AE42" i="1" s="1"/>
  <c r="T37" i="1"/>
  <c r="AE37" i="1" s="1"/>
  <c r="AT26" i="8"/>
  <c r="O151" i="8"/>
  <c r="DY261" i="1"/>
  <c r="EC27" i="1"/>
  <c r="ED27" i="1" s="1"/>
  <c r="Q263" i="1" s="1"/>
  <c r="AC263" i="1"/>
  <c r="EC25" i="1"/>
  <c r="ED25" i="1" s="1"/>
  <c r="Q261" i="1" s="1"/>
  <c r="O148" i="8"/>
  <c r="DY268" i="1"/>
  <c r="DY266" i="1"/>
  <c r="EA266" i="1" s="1"/>
  <c r="DY283" i="1"/>
  <c r="C283" i="1" s="1"/>
  <c r="T283" i="1" s="1"/>
  <c r="DY273" i="1"/>
  <c r="C273" i="1" s="1"/>
  <c r="T273" i="1" s="1"/>
  <c r="AO28" i="1"/>
  <c r="T47" i="1"/>
  <c r="AE47" i="1" s="1"/>
  <c r="DY281" i="1"/>
  <c r="EA281" i="1" s="1"/>
  <c r="ER260" i="1"/>
  <c r="ES260" i="1" s="1"/>
  <c r="BU51" i="1"/>
  <c r="AP250" i="1" s="1"/>
  <c r="EI260" i="1"/>
  <c r="EH260" i="1"/>
  <c r="AM148" i="8"/>
  <c r="AX148" i="8"/>
  <c r="S261" i="1"/>
  <c r="EH24" i="1"/>
  <c r="EK24" i="1" s="1"/>
  <c r="EP24" i="1"/>
  <c r="G260" i="1" s="1"/>
  <c r="AZ23" i="8"/>
  <c r="EC24" i="1"/>
  <c r="ED24" i="1" s="1"/>
  <c r="Q260" i="1" s="1"/>
  <c r="DY269" i="1"/>
  <c r="C269" i="1" s="1"/>
  <c r="AO36" i="1"/>
  <c r="AT40" i="8"/>
  <c r="O164" i="8"/>
  <c r="AT39" i="8"/>
  <c r="EC26" i="1"/>
  <c r="ED26" i="1" s="1"/>
  <c r="Q262" i="1" s="1"/>
  <c r="O170" i="8"/>
  <c r="O159" i="8"/>
  <c r="AT34" i="8"/>
  <c r="AO33" i="1"/>
  <c r="AZ26" i="8"/>
  <c r="T27" i="1"/>
  <c r="AE27" i="1" s="1"/>
  <c r="AT25" i="8"/>
  <c r="O149" i="8"/>
  <c r="P49" i="8"/>
  <c r="AE35" i="8" s="1"/>
  <c r="AO43" i="1"/>
  <c r="T43" i="1"/>
  <c r="AE43" i="1" s="1"/>
  <c r="T39" i="1"/>
  <c r="AE39" i="1" s="1"/>
  <c r="AO39" i="1"/>
  <c r="AO46" i="1"/>
  <c r="T46" i="1"/>
  <c r="AE46" i="1" s="1"/>
  <c r="T30" i="1"/>
  <c r="AE30" i="1" s="1"/>
  <c r="AO30" i="1"/>
  <c r="T45" i="1"/>
  <c r="AE45" i="1" s="1"/>
  <c r="AO45" i="1"/>
  <c r="Y25" i="2"/>
  <c r="AB24" i="2"/>
  <c r="AO44" i="1"/>
  <c r="T44" i="1"/>
  <c r="AE44" i="1" s="1"/>
  <c r="AO40" i="1"/>
  <c r="T40" i="1"/>
  <c r="AE40" i="1" s="1"/>
  <c r="T26" i="1"/>
  <c r="AE26" i="1" s="1"/>
  <c r="AO26" i="1"/>
  <c r="AO38" i="1"/>
  <c r="T38" i="1"/>
  <c r="AE38" i="1" s="1"/>
  <c r="AO24" i="1"/>
  <c r="T24" i="1"/>
  <c r="AE24" i="1" s="1"/>
  <c r="T41" i="1"/>
  <c r="AE41" i="1" s="1"/>
  <c r="AO41" i="1"/>
  <c r="AO34" i="1"/>
  <c r="T34" i="1"/>
  <c r="AE34" i="1" s="1"/>
  <c r="AO35" i="1"/>
  <c r="T35" i="1"/>
  <c r="AE35" i="1" s="1"/>
  <c r="EA282" i="1"/>
  <c r="DY280" i="1"/>
  <c r="C280" i="1" s="1"/>
  <c r="T280" i="1" s="1"/>
  <c r="D285" i="1"/>
  <c r="AX164" i="8"/>
  <c r="DY260" i="1"/>
  <c r="DY265" i="1"/>
  <c r="AX171" i="8"/>
  <c r="AX169" i="8"/>
  <c r="BJ42" i="8"/>
  <c r="AX151" i="8"/>
  <c r="DY279" i="1"/>
  <c r="EA279" i="1" s="1"/>
  <c r="DY277" i="1"/>
  <c r="EA277" i="1" s="1"/>
  <c r="DY276" i="1"/>
  <c r="EA276" i="1" s="1"/>
  <c r="AM166" i="8"/>
  <c r="EC33" i="1"/>
  <c r="ED33" i="1" s="1"/>
  <c r="Q269" i="1" s="1"/>
  <c r="EC29" i="1"/>
  <c r="ED29" i="1" s="1"/>
  <c r="Q265" i="1" s="1"/>
  <c r="EP29" i="1"/>
  <c r="G265" i="1" s="1"/>
  <c r="AX166" i="8"/>
  <c r="BJ41" i="8"/>
  <c r="AZ39" i="8"/>
  <c r="AM153" i="8"/>
  <c r="AX150" i="8"/>
  <c r="T29" i="1"/>
  <c r="AE29" i="1" s="1"/>
  <c r="AO29" i="1"/>
  <c r="T25" i="1"/>
  <c r="AE25" i="1" s="1"/>
  <c r="AO25" i="1"/>
  <c r="AA49" i="1"/>
  <c r="E262" i="1"/>
  <c r="AH250" i="1"/>
  <c r="AO250" i="1" s="1"/>
  <c r="AH36" i="1"/>
  <c r="AO31" i="1"/>
  <c r="T31" i="1"/>
  <c r="AE31" i="1" s="1"/>
  <c r="AX165" i="8"/>
  <c r="DY270" i="1"/>
  <c r="C270" i="1" s="1"/>
  <c r="AX153" i="8"/>
  <c r="A49" i="1"/>
  <c r="L11" i="6" s="1"/>
  <c r="O18" i="6" s="1"/>
  <c r="O22" i="6" s="1"/>
  <c r="DY263" i="1"/>
  <c r="C263" i="1" s="1"/>
  <c r="BJ39" i="8"/>
  <c r="AM155" i="8"/>
  <c r="AM150" i="8"/>
  <c r="DY274" i="1"/>
  <c r="DY271" i="1"/>
  <c r="AM171" i="8"/>
  <c r="AZ42" i="8"/>
  <c r="AM165" i="8"/>
  <c r="DY284" i="1"/>
  <c r="D88" i="8"/>
  <c r="EP33" i="1"/>
  <c r="G269" i="1" s="1"/>
  <c r="EP31" i="1"/>
  <c r="G267" i="1" s="1"/>
  <c r="AZ41" i="8"/>
  <c r="AM164" i="8"/>
  <c r="AM157" i="8"/>
  <c r="AX155" i="8"/>
  <c r="BJ30" i="8"/>
  <c r="DY275" i="1"/>
  <c r="DY272" i="1"/>
  <c r="EC29" i="14" l="1"/>
  <c r="ED29" i="14" s="1"/>
  <c r="Q258" i="14" s="1"/>
  <c r="EP25" i="14"/>
  <c r="G254" i="14" s="1"/>
  <c r="EC25" i="14"/>
  <c r="ED25" i="14" s="1"/>
  <c r="Q254" i="14" s="1"/>
  <c r="EP36" i="14"/>
  <c r="G265" i="14" s="1"/>
  <c r="EP45" i="14"/>
  <c r="G274" i="14" s="1"/>
  <c r="EP27" i="14"/>
  <c r="G256" i="14" s="1"/>
  <c r="EP44" i="14"/>
  <c r="G273" i="14" s="1"/>
  <c r="EC36" i="14"/>
  <c r="ED36" i="14" s="1"/>
  <c r="Q265" i="14" s="1"/>
  <c r="EC30" i="14"/>
  <c r="ED30" i="14" s="1"/>
  <c r="Q259" i="14" s="1"/>
  <c r="C264" i="1"/>
  <c r="EZ264" i="1" s="1"/>
  <c r="FA264" i="1" s="1"/>
  <c r="EP47" i="14"/>
  <c r="G276" i="14" s="1"/>
  <c r="EA278" i="1"/>
  <c r="EX278" i="1" s="1"/>
  <c r="DY258" i="14"/>
  <c r="EC38" i="14"/>
  <c r="ED38" i="14" s="1"/>
  <c r="Q267" i="14" s="1"/>
  <c r="EP34" i="14"/>
  <c r="G263" i="14" s="1"/>
  <c r="EP24" i="14"/>
  <c r="G253" i="14" s="1"/>
  <c r="EC24" i="14"/>
  <c r="ED24" i="14" s="1"/>
  <c r="Q253" i="14" s="1"/>
  <c r="N24" i="6"/>
  <c r="EC43" i="14"/>
  <c r="ED43" i="14" s="1"/>
  <c r="Q272" i="14" s="1"/>
  <c r="A49" i="14"/>
  <c r="EP41" i="14"/>
  <c r="G270" i="14" s="1"/>
  <c r="EC41" i="14"/>
  <c r="ED41" i="14" s="1"/>
  <c r="Q270" i="14" s="1"/>
  <c r="EC39" i="14"/>
  <c r="ED39" i="14" s="1"/>
  <c r="Q268" i="14" s="1"/>
  <c r="D278" i="14"/>
  <c r="DY262" i="14"/>
  <c r="C262" i="14" s="1"/>
  <c r="AB263" i="1"/>
  <c r="DY259" i="14"/>
  <c r="DY273" i="14"/>
  <c r="DY263" i="14"/>
  <c r="DY275" i="14"/>
  <c r="DY269" i="14"/>
  <c r="C258" i="14"/>
  <c r="EA258" i="14"/>
  <c r="DY255" i="14"/>
  <c r="DY257" i="14"/>
  <c r="EZ282" i="1"/>
  <c r="EP38" i="14"/>
  <c r="G267" i="14" s="1"/>
  <c r="EC44" i="14"/>
  <c r="ED44" i="14" s="1"/>
  <c r="Q273" i="14" s="1"/>
  <c r="DY254" i="14"/>
  <c r="DY256" i="14"/>
  <c r="DY261" i="14"/>
  <c r="DY266" i="14"/>
  <c r="DY270" i="14"/>
  <c r="DY271" i="14"/>
  <c r="DY272" i="14"/>
  <c r="EC26" i="14"/>
  <c r="ED26" i="14" s="1"/>
  <c r="Q255" i="14" s="1"/>
  <c r="DY276" i="14"/>
  <c r="EP46" i="14"/>
  <c r="G275" i="14" s="1"/>
  <c r="EP32" i="14"/>
  <c r="G261" i="14" s="1"/>
  <c r="DY265" i="14"/>
  <c r="EC46" i="14"/>
  <c r="ED46" i="14" s="1"/>
  <c r="Q275" i="14" s="1"/>
  <c r="DY264" i="14"/>
  <c r="EP26" i="14"/>
  <c r="G255" i="14" s="1"/>
  <c r="DY267" i="14"/>
  <c r="DY268" i="14"/>
  <c r="DY277" i="14"/>
  <c r="DY260" i="14"/>
  <c r="DY274" i="14"/>
  <c r="EJ253" i="14"/>
  <c r="EH253" i="14"/>
  <c r="EO253" i="14"/>
  <c r="EN253" i="14"/>
  <c r="ER253" i="14"/>
  <c r="ES253" i="14" s="1"/>
  <c r="EI253" i="14"/>
  <c r="EK253" i="14"/>
  <c r="T24" i="14"/>
  <c r="AE24" i="14" s="1"/>
  <c r="AE50" i="14" s="1"/>
  <c r="S148" i="14" s="1"/>
  <c r="AA49" i="14"/>
  <c r="AO24" i="14"/>
  <c r="AO49" i="14" s="1"/>
  <c r="Z17" i="14" s="1"/>
  <c r="C250" i="14"/>
  <c r="H253" i="14" s="1"/>
  <c r="H254" i="14" s="1"/>
  <c r="AP243" i="14"/>
  <c r="AS243" i="14" s="1"/>
  <c r="AN243" i="14" s="1"/>
  <c r="DY253" i="14"/>
  <c r="E263" i="14"/>
  <c r="S262" i="14"/>
  <c r="EH32" i="14"/>
  <c r="EK32" i="14" s="1"/>
  <c r="AU46" i="1"/>
  <c r="A282" i="1"/>
  <c r="F282" i="1" s="1"/>
  <c r="BC46" i="1"/>
  <c r="C281" i="1"/>
  <c r="BC45" i="1" s="1"/>
  <c r="EA283" i="1"/>
  <c r="EX283" i="1" s="1"/>
  <c r="AT50" i="8"/>
  <c r="AH142" i="8" s="1"/>
  <c r="C268" i="1"/>
  <c r="BC32" i="1" s="1"/>
  <c r="AC264" i="1"/>
  <c r="Y26" i="2"/>
  <c r="Y27" i="2" s="1"/>
  <c r="EA260" i="1"/>
  <c r="EU260" i="1" s="1"/>
  <c r="C260" i="1"/>
  <c r="EA265" i="1"/>
  <c r="EX265" i="1" s="1"/>
  <c r="C265" i="1"/>
  <c r="T265" i="1" s="1"/>
  <c r="C262" i="1"/>
  <c r="C261" i="1"/>
  <c r="AB261" i="1" s="1"/>
  <c r="C267" i="1"/>
  <c r="C266" i="1"/>
  <c r="T266" i="1" s="1"/>
  <c r="EX277" i="1"/>
  <c r="EX267" i="1"/>
  <c r="EX279" i="1"/>
  <c r="EX281" i="1"/>
  <c r="EX266" i="1"/>
  <c r="EX282" i="1"/>
  <c r="EX276" i="1"/>
  <c r="EX262" i="1"/>
  <c r="EA268" i="1"/>
  <c r="EA261" i="1"/>
  <c r="EA273" i="1"/>
  <c r="AU47" i="1"/>
  <c r="BC47" i="1"/>
  <c r="EZ283" i="1"/>
  <c r="A283" i="1"/>
  <c r="F283" i="1" s="1"/>
  <c r="BC37" i="1"/>
  <c r="A273" i="1"/>
  <c r="F273" i="1" s="1"/>
  <c r="AU37" i="1"/>
  <c r="C276" i="1"/>
  <c r="T276" i="1" s="1"/>
  <c r="C277" i="1"/>
  <c r="T277" i="1" s="1"/>
  <c r="EA280" i="1"/>
  <c r="C279" i="1"/>
  <c r="T279" i="1" s="1"/>
  <c r="EZ273" i="1"/>
  <c r="EP260" i="1"/>
  <c r="C257" i="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EL260" i="1"/>
  <c r="S262" i="1"/>
  <c r="EH25" i="1"/>
  <c r="EK25" i="1" s="1"/>
  <c r="AE142" i="8"/>
  <c r="AG142" i="8" s="1"/>
  <c r="T269" i="1"/>
  <c r="EA269" i="1"/>
  <c r="AS250" i="1"/>
  <c r="AN250" i="1" s="1"/>
  <c r="AF26" i="8"/>
  <c r="AF30" i="8"/>
  <c r="AF25" i="8"/>
  <c r="AF24" i="8"/>
  <c r="AF28" i="8"/>
  <c r="E148" i="8"/>
  <c r="L148" i="8" s="1"/>
  <c r="AF31" i="8"/>
  <c r="AF27" i="8"/>
  <c r="AF32" i="8"/>
  <c r="AF29" i="8"/>
  <c r="AB25" i="2"/>
  <c r="G15" i="6"/>
  <c r="O24" i="6"/>
  <c r="EZ278" i="1"/>
  <c r="AU42" i="1"/>
  <c r="A278" i="1"/>
  <c r="F278" i="1" s="1"/>
  <c r="BC42" i="1"/>
  <c r="AE50" i="1"/>
  <c r="C272" i="1"/>
  <c r="T272" i="1" s="1"/>
  <c r="EA272" i="1"/>
  <c r="EA274" i="1"/>
  <c r="C274" i="1"/>
  <c r="T274" i="1" s="1"/>
  <c r="E263" i="1"/>
  <c r="BC44" i="1"/>
  <c r="EZ280" i="1"/>
  <c r="AU44" i="1"/>
  <c r="A280" i="1"/>
  <c r="F280" i="1" s="1"/>
  <c r="EA275" i="1"/>
  <c r="C275" i="1"/>
  <c r="T275" i="1" s="1"/>
  <c r="C284" i="1"/>
  <c r="T284" i="1" s="1"/>
  <c r="EA284" i="1"/>
  <c r="C271" i="1"/>
  <c r="T271" i="1" s="1"/>
  <c r="EA271" i="1"/>
  <c r="EA263" i="1"/>
  <c r="T263" i="1"/>
  <c r="T270" i="1"/>
  <c r="EA270" i="1"/>
  <c r="AO49" i="1"/>
  <c r="Z17" i="1" s="1"/>
  <c r="BC28" i="1" l="1"/>
  <c r="AU28" i="1"/>
  <c r="AB264" i="1"/>
  <c r="U264" i="1" s="1"/>
  <c r="A264" i="1"/>
  <c r="F264" i="1" s="1"/>
  <c r="FA282" i="1"/>
  <c r="T264" i="1"/>
  <c r="AU45" i="1"/>
  <c r="A281" i="1"/>
  <c r="F281" i="1" s="1"/>
  <c r="EZ281" i="1"/>
  <c r="FA281" i="1" s="1"/>
  <c r="T281" i="1"/>
  <c r="EA262" i="14"/>
  <c r="EA268" i="14"/>
  <c r="C268" i="14"/>
  <c r="EA276" i="14"/>
  <c r="C276" i="14"/>
  <c r="EA261" i="14"/>
  <c r="C261" i="14"/>
  <c r="ET258" i="14"/>
  <c r="EV258" i="14"/>
  <c r="EX258" i="14" s="1"/>
  <c r="EU258" i="14"/>
  <c r="EA267" i="14"/>
  <c r="C267" i="14"/>
  <c r="EA256" i="14"/>
  <c r="C256" i="14"/>
  <c r="BC29" i="14"/>
  <c r="EZ258" i="14"/>
  <c r="AU29" i="14"/>
  <c r="A258" i="14"/>
  <c r="F258" i="14" s="1"/>
  <c r="U258" i="14"/>
  <c r="EA272" i="14"/>
  <c r="C272" i="14"/>
  <c r="C254" i="14"/>
  <c r="EA254" i="14"/>
  <c r="C269" i="14"/>
  <c r="EA269" i="14"/>
  <c r="C264" i="14"/>
  <c r="EA264" i="14"/>
  <c r="C271" i="14"/>
  <c r="EA271" i="14"/>
  <c r="EA275" i="14"/>
  <c r="C275" i="14"/>
  <c r="EA270" i="14"/>
  <c r="C270" i="14"/>
  <c r="EA263" i="14"/>
  <c r="C263" i="14"/>
  <c r="EA274" i="14"/>
  <c r="C274" i="14"/>
  <c r="EA265" i="14"/>
  <c r="C265" i="14"/>
  <c r="C266" i="14"/>
  <c r="EA266" i="14"/>
  <c r="C273" i="14"/>
  <c r="EA273" i="14"/>
  <c r="C260" i="14"/>
  <c r="EA260" i="14"/>
  <c r="EV262" i="14"/>
  <c r="EX262" i="14" s="1"/>
  <c r="ET262" i="14"/>
  <c r="EU262" i="14"/>
  <c r="C257" i="14"/>
  <c r="EA257" i="14"/>
  <c r="EA259" i="14"/>
  <c r="C259" i="14"/>
  <c r="C277" i="14"/>
  <c r="EA277" i="14"/>
  <c r="EZ262" i="14"/>
  <c r="A262" i="14"/>
  <c r="F262" i="14" s="1"/>
  <c r="AU33" i="14"/>
  <c r="BC33" i="14"/>
  <c r="U262" i="14"/>
  <c r="EA255" i="14"/>
  <c r="C255" i="14"/>
  <c r="EP253" i="14"/>
  <c r="H255" i="14"/>
  <c r="AH43" i="14"/>
  <c r="B182" i="14"/>
  <c r="M182" i="14" s="1"/>
  <c r="EL253" i="14"/>
  <c r="EV260" i="1"/>
  <c r="EX260" i="1" s="1"/>
  <c r="EA253" i="14"/>
  <c r="C253" i="14"/>
  <c r="S263" i="14"/>
  <c r="EH33" i="14"/>
  <c r="EK33" i="14" s="1"/>
  <c r="E264" i="14"/>
  <c r="T262" i="1"/>
  <c r="AB262" i="1"/>
  <c r="AC265" i="1"/>
  <c r="AB265" i="1" s="1"/>
  <c r="U265" i="1" s="1"/>
  <c r="ET260" i="1"/>
  <c r="AU30" i="1"/>
  <c r="A266" i="1"/>
  <c r="F266" i="1" s="1"/>
  <c r="AI142" i="8"/>
  <c r="AF142" i="8" s="1"/>
  <c r="BC30" i="1"/>
  <c r="EZ266" i="1"/>
  <c r="FA266" i="1" s="1"/>
  <c r="C145" i="8"/>
  <c r="AU32" i="1"/>
  <c r="A268" i="1"/>
  <c r="F268" i="1" s="1"/>
  <c r="T268" i="1"/>
  <c r="EZ268" i="1"/>
  <c r="AU26" i="1"/>
  <c r="BC26" i="1"/>
  <c r="EZ262" i="1"/>
  <c r="FA262" i="1" s="1"/>
  <c r="A262" i="1"/>
  <c r="F262" i="1" s="1"/>
  <c r="BC31" i="1"/>
  <c r="EZ267" i="1"/>
  <c r="FA267" i="1" s="1"/>
  <c r="A267" i="1"/>
  <c r="F267" i="1" s="1"/>
  <c r="AU31" i="1"/>
  <c r="BC25" i="1"/>
  <c r="EZ261" i="1"/>
  <c r="AU25" i="1"/>
  <c r="A261" i="1"/>
  <c r="F261" i="1" s="1"/>
  <c r="T267" i="1"/>
  <c r="T261" i="1"/>
  <c r="EX263" i="1"/>
  <c r="EX275" i="1"/>
  <c r="EX272" i="1"/>
  <c r="EX273" i="1"/>
  <c r="FA273" i="1" s="1"/>
  <c r="T260" i="1"/>
  <c r="AB260" i="1"/>
  <c r="EX280" i="1"/>
  <c r="FA280" i="1" s="1"/>
  <c r="EX271" i="1"/>
  <c r="EX274" i="1"/>
  <c r="EX270" i="1"/>
  <c r="EX284" i="1"/>
  <c r="EX269" i="1"/>
  <c r="EX268" i="1"/>
  <c r="EX261" i="1"/>
  <c r="FA283" i="1"/>
  <c r="U263" i="1"/>
  <c r="BC41" i="1"/>
  <c r="EZ276" i="1"/>
  <c r="FA276" i="1" s="1"/>
  <c r="AU40" i="1"/>
  <c r="A276" i="1"/>
  <c r="F276" i="1" s="1"/>
  <c r="BC40" i="1"/>
  <c r="BC29" i="1"/>
  <c r="EZ265" i="1"/>
  <c r="FA265" i="1" s="1"/>
  <c r="A265" i="1"/>
  <c r="F265" i="1" s="1"/>
  <c r="EZ279" i="1"/>
  <c r="FA279" i="1" s="1"/>
  <c r="A279" i="1"/>
  <c r="F279" i="1" s="1"/>
  <c r="BC43" i="1"/>
  <c r="AU41" i="1"/>
  <c r="EZ277" i="1"/>
  <c r="FA277" i="1" s="1"/>
  <c r="A277" i="1"/>
  <c r="F277" i="1" s="1"/>
  <c r="AU29" i="1"/>
  <c r="AU43" i="1"/>
  <c r="R26" i="1"/>
  <c r="FA278" i="1"/>
  <c r="AU24" i="1"/>
  <c r="EH26" i="1"/>
  <c r="EK26" i="1" s="1"/>
  <c r="S263" i="1"/>
  <c r="V260" i="1"/>
  <c r="A269" i="1"/>
  <c r="F269" i="1" s="1"/>
  <c r="EZ269" i="1"/>
  <c r="AU33" i="1"/>
  <c r="BC33" i="1"/>
  <c r="A260" i="1"/>
  <c r="F260" i="1" s="1"/>
  <c r="AF33" i="8"/>
  <c r="EZ260" i="1"/>
  <c r="BC24" i="1"/>
  <c r="AC266" i="1"/>
  <c r="AB266" i="1" s="1"/>
  <c r="AB26" i="2"/>
  <c r="G26" i="6"/>
  <c r="G29" i="6"/>
  <c r="G30" i="6"/>
  <c r="B189" i="1"/>
  <c r="M189" i="1" s="1"/>
  <c r="AH43" i="1"/>
  <c r="BC27" i="1"/>
  <c r="EZ263" i="1"/>
  <c r="AU27" i="1"/>
  <c r="A263" i="1"/>
  <c r="F263" i="1" s="1"/>
  <c r="AA284" i="1"/>
  <c r="EZ275" i="1"/>
  <c r="A275" i="1"/>
  <c r="F275" i="1" s="1"/>
  <c r="BC39" i="1"/>
  <c r="AU39" i="1"/>
  <c r="E264" i="1"/>
  <c r="BC38" i="1"/>
  <c r="A274" i="1"/>
  <c r="F274" i="1" s="1"/>
  <c r="AU38" i="1"/>
  <c r="EZ274" i="1"/>
  <c r="BC34" i="1"/>
  <c r="A270" i="1"/>
  <c r="F270" i="1" s="1"/>
  <c r="EZ270" i="1"/>
  <c r="AU34" i="1"/>
  <c r="AU35" i="1"/>
  <c r="A271" i="1"/>
  <c r="F271" i="1" s="1"/>
  <c r="EZ271" i="1"/>
  <c r="BC35" i="1"/>
  <c r="A284" i="1"/>
  <c r="F284" i="1" s="1"/>
  <c r="EZ284" i="1"/>
  <c r="AU48" i="1"/>
  <c r="BC48" i="1"/>
  <c r="AU36" i="1"/>
  <c r="EZ272" i="1"/>
  <c r="A272" i="1"/>
  <c r="F272" i="1" s="1"/>
  <c r="BC36" i="1"/>
  <c r="F32" i="6" l="1"/>
  <c r="G32" i="6" s="1"/>
  <c r="G35" i="6" s="1"/>
  <c r="R28" i="1"/>
  <c r="R25" i="7" s="1"/>
  <c r="J283" i="1"/>
  <c r="FA260" i="1"/>
  <c r="FA262" i="14"/>
  <c r="EW262" i="14"/>
  <c r="FA258" i="14"/>
  <c r="EU277" i="14"/>
  <c r="ET277" i="14"/>
  <c r="EV277" i="14"/>
  <c r="EX277" i="14" s="1"/>
  <c r="ET265" i="14"/>
  <c r="EU265" i="14"/>
  <c r="EV265" i="14"/>
  <c r="EX265" i="14" s="1"/>
  <c r="ET275" i="14"/>
  <c r="EV275" i="14"/>
  <c r="EX275" i="14" s="1"/>
  <c r="EU275" i="14"/>
  <c r="A254" i="14"/>
  <c r="F254" i="14" s="1"/>
  <c r="AU25" i="14"/>
  <c r="BC25" i="14"/>
  <c r="EZ254" i="14"/>
  <c r="U254" i="14"/>
  <c r="J276" i="1"/>
  <c r="R29" i="1"/>
  <c r="EZ255" i="14"/>
  <c r="AU26" i="14"/>
  <c r="BC26" i="14"/>
  <c r="A255" i="14"/>
  <c r="F255" i="14" s="1"/>
  <c r="U255" i="14"/>
  <c r="A277" i="14"/>
  <c r="F277" i="14" s="1"/>
  <c r="EZ277" i="14"/>
  <c r="AU48" i="14"/>
  <c r="BC48" i="14"/>
  <c r="U277" i="14"/>
  <c r="EV260" i="14"/>
  <c r="EX260" i="14" s="1"/>
  <c r="ET260" i="14"/>
  <c r="EU260" i="14"/>
  <c r="EZ274" i="14"/>
  <c r="A274" i="14"/>
  <c r="F274" i="14" s="1"/>
  <c r="AU45" i="14"/>
  <c r="BC45" i="14"/>
  <c r="U274" i="14"/>
  <c r="ET271" i="14"/>
  <c r="EU271" i="14"/>
  <c r="EV271" i="14"/>
  <c r="EX271" i="14" s="1"/>
  <c r="A272" i="14"/>
  <c r="F272" i="14" s="1"/>
  <c r="AU43" i="14"/>
  <c r="EZ272" i="14"/>
  <c r="BC43" i="14"/>
  <c r="U272" i="14"/>
  <c r="EW258" i="14"/>
  <c r="R38" i="7"/>
  <c r="ET255" i="14"/>
  <c r="EU255" i="14"/>
  <c r="EV255" i="14"/>
  <c r="EX255" i="14" s="1"/>
  <c r="BC30" i="14"/>
  <c r="A259" i="14"/>
  <c r="F259" i="14" s="1"/>
  <c r="AU30" i="14"/>
  <c r="EZ259" i="14"/>
  <c r="U259" i="14"/>
  <c r="EZ260" i="14"/>
  <c r="A260" i="14"/>
  <c r="F260" i="14" s="1"/>
  <c r="AU31" i="14"/>
  <c r="BC31" i="14"/>
  <c r="U260" i="14"/>
  <c r="ET274" i="14"/>
  <c r="EV274" i="14"/>
  <c r="EX274" i="14" s="1"/>
  <c r="EU274" i="14"/>
  <c r="EZ271" i="14"/>
  <c r="A271" i="14"/>
  <c r="F271" i="14" s="1"/>
  <c r="AU42" i="14"/>
  <c r="BC42" i="14"/>
  <c r="U271" i="14"/>
  <c r="EV272" i="14"/>
  <c r="EX272" i="14" s="1"/>
  <c r="EU272" i="14"/>
  <c r="ET272" i="14"/>
  <c r="AU27" i="14"/>
  <c r="EZ256" i="14"/>
  <c r="A256" i="14"/>
  <c r="F256" i="14" s="1"/>
  <c r="BC27" i="14"/>
  <c r="U256" i="14"/>
  <c r="A261" i="14"/>
  <c r="F261" i="14" s="1"/>
  <c r="AU32" i="14"/>
  <c r="BC32" i="14"/>
  <c r="EZ261" i="14"/>
  <c r="U261" i="14"/>
  <c r="R43" i="7"/>
  <c r="T43" i="7" s="1"/>
  <c r="AD45" i="8" s="1"/>
  <c r="R45" i="8" s="1"/>
  <c r="EU259" i="14"/>
  <c r="EV259" i="14"/>
  <c r="EX259" i="14" s="1"/>
  <c r="ET259" i="14"/>
  <c r="EV273" i="14"/>
  <c r="EX273" i="14" s="1"/>
  <c r="ET273" i="14"/>
  <c r="EU273" i="14"/>
  <c r="BC34" i="14"/>
  <c r="A263" i="14"/>
  <c r="F263" i="14" s="1"/>
  <c r="AU34" i="14"/>
  <c r="EZ263" i="14"/>
  <c r="U263" i="14"/>
  <c r="EV264" i="14"/>
  <c r="EX264" i="14" s="1"/>
  <c r="ET264" i="14"/>
  <c r="EU264" i="14"/>
  <c r="EV256" i="14"/>
  <c r="EX256" i="14" s="1"/>
  <c r="EU256" i="14"/>
  <c r="ET256" i="14"/>
  <c r="ET261" i="14"/>
  <c r="EV261" i="14"/>
  <c r="EX261" i="14" s="1"/>
  <c r="EU261" i="14"/>
  <c r="ET257" i="14"/>
  <c r="EU257" i="14"/>
  <c r="EV257" i="14"/>
  <c r="EX257" i="14" s="1"/>
  <c r="EZ273" i="14"/>
  <c r="A273" i="14"/>
  <c r="F273" i="14" s="1"/>
  <c r="AU44" i="14"/>
  <c r="BC44" i="14"/>
  <c r="U273" i="14"/>
  <c r="EU263" i="14"/>
  <c r="EV263" i="14"/>
  <c r="EX263" i="14" s="1"/>
  <c r="ET263" i="14"/>
  <c r="EZ264" i="14"/>
  <c r="A264" i="14"/>
  <c r="F264" i="14" s="1"/>
  <c r="BC35" i="14"/>
  <c r="AU35" i="14"/>
  <c r="U264" i="14"/>
  <c r="J264" i="1"/>
  <c r="EZ267" i="14"/>
  <c r="A267" i="14"/>
  <c r="F267" i="14" s="1"/>
  <c r="AU38" i="14"/>
  <c r="BC38" i="14"/>
  <c r="U267" i="14"/>
  <c r="A276" i="14"/>
  <c r="F276" i="14" s="1"/>
  <c r="AU47" i="14"/>
  <c r="BC47" i="14"/>
  <c r="EZ276" i="14"/>
  <c r="U276" i="14"/>
  <c r="A257" i="14"/>
  <c r="F257" i="14" s="1"/>
  <c r="AU28" i="14"/>
  <c r="EZ257" i="14"/>
  <c r="FA257" i="14" s="1"/>
  <c r="BC28" i="14"/>
  <c r="U257" i="14"/>
  <c r="EV266" i="14"/>
  <c r="EX266" i="14" s="1"/>
  <c r="EU266" i="14"/>
  <c r="ET266" i="14"/>
  <c r="AU41" i="14"/>
  <c r="BC41" i="14"/>
  <c r="A270" i="14"/>
  <c r="F270" i="14" s="1"/>
  <c r="EZ270" i="14"/>
  <c r="U270" i="14"/>
  <c r="EV269" i="14"/>
  <c r="EX269" i="14" s="1"/>
  <c r="EU269" i="14"/>
  <c r="ET269" i="14"/>
  <c r="EV267" i="14"/>
  <c r="EX267" i="14" s="1"/>
  <c r="ET267" i="14"/>
  <c r="EU267" i="14"/>
  <c r="EU276" i="14"/>
  <c r="EV276" i="14"/>
  <c r="EX276" i="14" s="1"/>
  <c r="ET276" i="14"/>
  <c r="A266" i="14"/>
  <c r="F266" i="14" s="1"/>
  <c r="AU37" i="14"/>
  <c r="BC37" i="14"/>
  <c r="EZ266" i="14"/>
  <c r="U266" i="14"/>
  <c r="ET270" i="14"/>
  <c r="EU270" i="14"/>
  <c r="EV270" i="14"/>
  <c r="EX270" i="14" s="1"/>
  <c r="A269" i="14"/>
  <c r="F269" i="14" s="1"/>
  <c r="EZ269" i="14"/>
  <c r="AU40" i="14"/>
  <c r="BC40" i="14"/>
  <c r="U269" i="14"/>
  <c r="AA277" i="14"/>
  <c r="A268" i="14"/>
  <c r="F268" i="14" s="1"/>
  <c r="EZ268" i="14"/>
  <c r="AU39" i="14"/>
  <c r="BC39" i="14"/>
  <c r="U268" i="14"/>
  <c r="EZ265" i="14"/>
  <c r="A265" i="14"/>
  <c r="F265" i="14" s="1"/>
  <c r="AU36" i="14"/>
  <c r="BC36" i="14"/>
  <c r="U265" i="14"/>
  <c r="A275" i="14"/>
  <c r="F275" i="14" s="1"/>
  <c r="EZ275" i="14"/>
  <c r="BC46" i="14"/>
  <c r="AU46" i="14"/>
  <c r="U275" i="14"/>
  <c r="EV254" i="14"/>
  <c r="EX254" i="14" s="1"/>
  <c r="EU254" i="14"/>
  <c r="ET254" i="14"/>
  <c r="ET268" i="14"/>
  <c r="EU268" i="14"/>
  <c r="EV268" i="14"/>
  <c r="EX268" i="14" s="1"/>
  <c r="H256" i="14"/>
  <c r="EW260" i="1"/>
  <c r="R24" i="1" s="1"/>
  <c r="EZ253" i="14"/>
  <c r="U253" i="14"/>
  <c r="BC24" i="14"/>
  <c r="AU24" i="14"/>
  <c r="A253" i="14"/>
  <c r="F253" i="14" s="1"/>
  <c r="V253" i="14"/>
  <c r="EV253" i="14"/>
  <c r="EX253" i="14" s="1"/>
  <c r="ET253" i="14"/>
  <c r="EU253" i="14"/>
  <c r="E265" i="14"/>
  <c r="S264" i="14"/>
  <c r="EH34" i="14"/>
  <c r="EK34" i="14" s="1"/>
  <c r="U262" i="1"/>
  <c r="U266" i="1"/>
  <c r="R25" i="1"/>
  <c r="FA268" i="1"/>
  <c r="U261" i="1"/>
  <c r="FA261" i="1"/>
  <c r="U260" i="1"/>
  <c r="R42" i="7"/>
  <c r="T42" i="7" s="1"/>
  <c r="AD44" i="8" s="1"/>
  <c r="FA269" i="1"/>
  <c r="FA272" i="1"/>
  <c r="EH27" i="1"/>
  <c r="EK27" i="1" s="1"/>
  <c r="S264" i="1"/>
  <c r="FA270" i="1"/>
  <c r="BC50" i="1"/>
  <c r="AB27" i="2"/>
  <c r="Y28" i="2"/>
  <c r="AC267" i="1" s="1"/>
  <c r="AB267" i="1" s="1"/>
  <c r="R37" i="7"/>
  <c r="T37" i="7" s="1"/>
  <c r="AD39" i="8" s="1"/>
  <c r="J278" i="1"/>
  <c r="R39" i="7"/>
  <c r="L30" i="6"/>
  <c r="L31" i="6"/>
  <c r="K30" i="6"/>
  <c r="K31" i="6"/>
  <c r="K32" i="6" s="1"/>
  <c r="FA271" i="1"/>
  <c r="J279" i="1"/>
  <c r="R40" i="7"/>
  <c r="E265" i="1"/>
  <c r="FA275" i="1"/>
  <c r="FA263" i="1"/>
  <c r="FA284" i="1"/>
  <c r="R27" i="1"/>
  <c r="FA274" i="1"/>
  <c r="AA25" i="7" l="1"/>
  <c r="T25" i="7"/>
  <c r="AD27" i="8" s="1"/>
  <c r="Q152" i="8" s="1"/>
  <c r="U152" i="8" s="1"/>
  <c r="W152" i="8" s="1"/>
  <c r="W264" i="1"/>
  <c r="Y264" i="1" s="1"/>
  <c r="Y28" i="1" s="1"/>
  <c r="Z28" i="1" s="1"/>
  <c r="U27" i="8" s="1"/>
  <c r="C152" i="8" s="1"/>
  <c r="J282" i="1"/>
  <c r="R44" i="7"/>
  <c r="T44" i="7" s="1"/>
  <c r="AD46" i="8" s="1"/>
  <c r="Q171" i="8" s="1"/>
  <c r="U171" i="8" s="1"/>
  <c r="W171" i="8" s="1"/>
  <c r="Q170" i="8"/>
  <c r="U170" i="8" s="1"/>
  <c r="W170" i="8" s="1"/>
  <c r="AA38" i="7"/>
  <c r="AA40" i="8" s="1"/>
  <c r="T38" i="7"/>
  <c r="AD40" i="8" s="1"/>
  <c r="Q165" i="8" s="1"/>
  <c r="U165" i="8" s="1"/>
  <c r="W165" i="8" s="1"/>
  <c r="J277" i="1"/>
  <c r="AA43" i="7"/>
  <c r="AA45" i="8" s="1"/>
  <c r="AG45" i="8" s="1"/>
  <c r="FA265" i="14"/>
  <c r="FA268" i="14"/>
  <c r="EW263" i="14"/>
  <c r="J263" i="14" s="1"/>
  <c r="J260" i="1"/>
  <c r="W260" i="1" s="1"/>
  <c r="X260" i="1" s="1"/>
  <c r="J262" i="14"/>
  <c r="EW269" i="14"/>
  <c r="J269" i="14" s="1"/>
  <c r="EW266" i="14"/>
  <c r="FA277" i="14"/>
  <c r="FA275" i="14"/>
  <c r="FA269" i="14"/>
  <c r="EW256" i="14"/>
  <c r="J256" i="14" s="1"/>
  <c r="W256" i="14" s="1"/>
  <c r="Y256" i="14" s="1"/>
  <c r="FA271" i="14"/>
  <c r="FA260" i="14"/>
  <c r="EW255" i="14"/>
  <c r="J255" i="14" s="1"/>
  <c r="W255" i="14" s="1"/>
  <c r="Y255" i="14" s="1"/>
  <c r="EW260" i="14"/>
  <c r="J260" i="14" s="1"/>
  <c r="EW275" i="14"/>
  <c r="J275" i="14" s="1"/>
  <c r="EW276" i="14"/>
  <c r="J276" i="14" s="1"/>
  <c r="FA263" i="14"/>
  <c r="EW272" i="14"/>
  <c r="J272" i="14" s="1"/>
  <c r="BC50" i="14"/>
  <c r="EW268" i="14"/>
  <c r="J268" i="14" s="1"/>
  <c r="EW267" i="14"/>
  <c r="EW259" i="14"/>
  <c r="J259" i="14" s="1"/>
  <c r="FA259" i="14"/>
  <c r="FA274" i="14"/>
  <c r="R24" i="7"/>
  <c r="EW254" i="14"/>
  <c r="J254" i="14" s="1"/>
  <c r="W254" i="14" s="1"/>
  <c r="Y254" i="14" s="1"/>
  <c r="EW261" i="14"/>
  <c r="J261" i="14" s="1"/>
  <c r="EW274" i="14"/>
  <c r="J274" i="14" s="1"/>
  <c r="FA254" i="14"/>
  <c r="R27" i="7"/>
  <c r="T27" i="7" s="1"/>
  <c r="AD29" i="8" s="1"/>
  <c r="Q154" i="8" s="1"/>
  <c r="U154" i="8" s="1"/>
  <c r="W154" i="8" s="1"/>
  <c r="J272" i="1"/>
  <c r="R35" i="7"/>
  <c r="T35" i="7" s="1"/>
  <c r="AD37" i="8" s="1"/>
  <c r="R34" i="7"/>
  <c r="T34" i="7" s="1"/>
  <c r="AD36" i="8" s="1"/>
  <c r="R36" i="8" s="1"/>
  <c r="J266" i="1"/>
  <c r="J281" i="1"/>
  <c r="FA264" i="14"/>
  <c r="FA273" i="14"/>
  <c r="EW271" i="14"/>
  <c r="J271" i="14" s="1"/>
  <c r="EW265" i="14"/>
  <c r="J265" i="14" s="1"/>
  <c r="R41" i="7"/>
  <c r="AA41" i="7" s="1"/>
  <c r="EW270" i="14"/>
  <c r="J270" i="14" s="1"/>
  <c r="R22" i="7"/>
  <c r="T22" i="7" s="1"/>
  <c r="AD24" i="8" s="1"/>
  <c r="Q149" i="8" s="1"/>
  <c r="U149" i="8" s="1"/>
  <c r="W149" i="8" s="1"/>
  <c r="FA276" i="14"/>
  <c r="FA267" i="14"/>
  <c r="FA256" i="14"/>
  <c r="FA255" i="14"/>
  <c r="EW277" i="14"/>
  <c r="J277" i="14" s="1"/>
  <c r="FA266" i="14"/>
  <c r="FA270" i="14"/>
  <c r="EW257" i="14"/>
  <c r="J257" i="14" s="1"/>
  <c r="EW264" i="14"/>
  <c r="J264" i="14" s="1"/>
  <c r="EW273" i="14"/>
  <c r="J273" i="14" s="1"/>
  <c r="FA261" i="14"/>
  <c r="FA272" i="14"/>
  <c r="R21" i="7"/>
  <c r="T21" i="7" s="1"/>
  <c r="AD23" i="8" s="1"/>
  <c r="H257" i="14"/>
  <c r="EW253" i="14"/>
  <c r="J253" i="14" s="1"/>
  <c r="W253" i="14" s="1"/>
  <c r="FA253" i="14"/>
  <c r="E266" i="14"/>
  <c r="S265" i="14"/>
  <c r="EH35" i="14"/>
  <c r="EK35" i="14" s="1"/>
  <c r="U267" i="1"/>
  <c r="J268" i="1"/>
  <c r="R29" i="7"/>
  <c r="T29" i="7" s="1"/>
  <c r="AD31" i="8" s="1"/>
  <c r="Q156" i="8" s="1"/>
  <c r="U156" i="8" s="1"/>
  <c r="W156" i="8" s="1"/>
  <c r="R23" i="7"/>
  <c r="T23" i="7" s="1"/>
  <c r="AD25" i="8" s="1"/>
  <c r="R25" i="8" s="1"/>
  <c r="J262" i="1"/>
  <c r="W262" i="1" s="1"/>
  <c r="Y262" i="1" s="1"/>
  <c r="Y26" i="1" s="1"/>
  <c r="R28" i="7"/>
  <c r="T28" i="7" s="1"/>
  <c r="AD30" i="8" s="1"/>
  <c r="J267" i="1"/>
  <c r="J261" i="1"/>
  <c r="W261" i="1" s="1"/>
  <c r="Y261" i="1" s="1"/>
  <c r="Y25" i="1" s="1"/>
  <c r="Y25" i="14" s="1"/>
  <c r="AA42" i="7"/>
  <c r="AD42" i="7" s="1"/>
  <c r="AA37" i="7"/>
  <c r="AD37" i="7" s="1"/>
  <c r="K33" i="6"/>
  <c r="S265" i="1"/>
  <c r="EH28" i="1"/>
  <c r="EK28" i="1" s="1"/>
  <c r="Y29" i="2"/>
  <c r="AC268" i="1" s="1"/>
  <c r="AB268" i="1" s="1"/>
  <c r="AB28" i="2"/>
  <c r="L32" i="6"/>
  <c r="AA39" i="7"/>
  <c r="T39" i="7"/>
  <c r="AD41" i="8" s="1"/>
  <c r="J271" i="1"/>
  <c r="R32" i="7"/>
  <c r="R39" i="8"/>
  <c r="Q164" i="8"/>
  <c r="U164" i="8" s="1"/>
  <c r="W164" i="8" s="1"/>
  <c r="AA40" i="7"/>
  <c r="T40" i="7"/>
  <c r="AD42" i="8" s="1"/>
  <c r="J284" i="1"/>
  <c r="R45" i="7"/>
  <c r="J275" i="1"/>
  <c r="R36" i="7"/>
  <c r="E266" i="1"/>
  <c r="Q169" i="8"/>
  <c r="U169" i="8" s="1"/>
  <c r="W169" i="8" s="1"/>
  <c r="R44" i="8"/>
  <c r="AD38" i="7" l="1"/>
  <c r="AD28" i="1"/>
  <c r="Y28" i="14"/>
  <c r="Z28" i="14" s="1"/>
  <c r="AD25" i="7"/>
  <c r="AA27" i="8"/>
  <c r="AA21" i="7"/>
  <c r="AA44" i="7"/>
  <c r="AD44" i="7" s="1"/>
  <c r="J280" i="1"/>
  <c r="R46" i="8"/>
  <c r="AA27" i="7"/>
  <c r="AA29" i="8" s="1"/>
  <c r="Y260" i="1"/>
  <c r="Y24" i="1" s="1"/>
  <c r="Y24" i="14" s="1"/>
  <c r="AD24" i="14" s="1"/>
  <c r="T45" i="8"/>
  <c r="AD43" i="7"/>
  <c r="R40" i="8"/>
  <c r="AA22" i="7"/>
  <c r="AD22" i="7" s="1"/>
  <c r="T41" i="7"/>
  <c r="AD43" i="8" s="1"/>
  <c r="Q168" i="8" s="1"/>
  <c r="U168" i="8" s="1"/>
  <c r="W168" i="8" s="1"/>
  <c r="J266" i="14"/>
  <c r="J273" i="1"/>
  <c r="J274" i="1"/>
  <c r="J267" i="14"/>
  <c r="J258" i="14"/>
  <c r="R26" i="7"/>
  <c r="R33" i="7"/>
  <c r="J265" i="1"/>
  <c r="W265" i="1" s="1"/>
  <c r="Y265" i="1" s="1"/>
  <c r="Y29" i="1" s="1"/>
  <c r="J263" i="1"/>
  <c r="W263" i="1" s="1"/>
  <c r="Y263" i="1" s="1"/>
  <c r="Y27" i="1" s="1"/>
  <c r="Z27" i="1" s="1"/>
  <c r="U26" i="8" s="1"/>
  <c r="C151" i="8" s="1"/>
  <c r="Z26" i="1"/>
  <c r="U25" i="8" s="1"/>
  <c r="C150" i="8" s="1"/>
  <c r="AK25" i="8" s="1"/>
  <c r="AL25" i="8" s="1"/>
  <c r="Y26" i="14"/>
  <c r="H258" i="14"/>
  <c r="W257" i="14"/>
  <c r="Y257" i="14" s="1"/>
  <c r="Z25" i="14"/>
  <c r="AD25" i="14"/>
  <c r="X253" i="14"/>
  <c r="Y253" i="14"/>
  <c r="E267" i="14"/>
  <c r="S266" i="14"/>
  <c r="EH36" i="14"/>
  <c r="EK36" i="14" s="1"/>
  <c r="AD26" i="1"/>
  <c r="U268" i="1"/>
  <c r="Q161" i="8"/>
  <c r="U161" i="8" s="1"/>
  <c r="W161" i="8" s="1"/>
  <c r="AA34" i="7"/>
  <c r="AA36" i="8" s="1"/>
  <c r="T36" i="8" s="1"/>
  <c r="AA23" i="7"/>
  <c r="AD23" i="7" s="1"/>
  <c r="AA29" i="7"/>
  <c r="AD29" i="7" s="1"/>
  <c r="AA28" i="7"/>
  <c r="AD28" i="7" s="1"/>
  <c r="Q155" i="8"/>
  <c r="U155" i="8" s="1"/>
  <c r="W155" i="8" s="1"/>
  <c r="R30" i="8"/>
  <c r="Z25" i="1"/>
  <c r="U24" i="8" s="1"/>
  <c r="C149" i="8" s="1"/>
  <c r="Y149" i="8" s="1"/>
  <c r="Z24" i="8" s="1"/>
  <c r="AD25" i="1"/>
  <c r="R30" i="7"/>
  <c r="AA30" i="7" s="1"/>
  <c r="AA32" i="8" s="1"/>
  <c r="J269" i="1"/>
  <c r="Q150" i="8"/>
  <c r="U150" i="8" s="1"/>
  <c r="W150" i="8" s="1"/>
  <c r="R31" i="7"/>
  <c r="AA31" i="7" s="1"/>
  <c r="J270" i="1"/>
  <c r="R31" i="8"/>
  <c r="AA39" i="8"/>
  <c r="T39" i="8" s="1"/>
  <c r="AA35" i="7"/>
  <c r="AD35" i="7" s="1"/>
  <c r="AA44" i="8"/>
  <c r="AG44" i="8" s="1"/>
  <c r="S266" i="1"/>
  <c r="W266" i="1" s="1"/>
  <c r="Y266" i="1" s="1"/>
  <c r="Y30" i="1" s="1"/>
  <c r="EH29" i="1"/>
  <c r="EK29" i="1" s="1"/>
  <c r="Y30" i="2"/>
  <c r="AC269" i="1" s="1"/>
  <c r="AB269" i="1" s="1"/>
  <c r="AB29" i="2"/>
  <c r="Q166" i="8"/>
  <c r="U166" i="8" s="1"/>
  <c r="W166" i="8" s="1"/>
  <c r="R41" i="8"/>
  <c r="AD39" i="7"/>
  <c r="AA41" i="8"/>
  <c r="AD41" i="7"/>
  <c r="AA43" i="8"/>
  <c r="AD21" i="7"/>
  <c r="AA23" i="8"/>
  <c r="AA36" i="7"/>
  <c r="T36" i="7"/>
  <c r="AD38" i="8" s="1"/>
  <c r="AA45" i="7"/>
  <c r="T45" i="7"/>
  <c r="AD47" i="8" s="1"/>
  <c r="R42" i="8"/>
  <c r="Q167" i="8"/>
  <c r="U167" i="8" s="1"/>
  <c r="W167" i="8" s="1"/>
  <c r="R37" i="8"/>
  <c r="Q162" i="8"/>
  <c r="U162" i="8" s="1"/>
  <c r="W162" i="8" s="1"/>
  <c r="AK27" i="8"/>
  <c r="AL27" i="8" s="1"/>
  <c r="Y152" i="8"/>
  <c r="T32" i="7"/>
  <c r="AD34" i="8" s="1"/>
  <c r="AA32" i="7"/>
  <c r="R23" i="8"/>
  <c r="Q148" i="8"/>
  <c r="U148" i="8" s="1"/>
  <c r="W148" i="8" s="1"/>
  <c r="E267" i="1"/>
  <c r="AA24" i="7"/>
  <c r="T24" i="7"/>
  <c r="AD26" i="8" s="1"/>
  <c r="Q151" i="8" s="1"/>
  <c r="U151" i="8" s="1"/>
  <c r="W151" i="8" s="1"/>
  <c r="AA42" i="8"/>
  <c r="AD40" i="7"/>
  <c r="T40" i="8"/>
  <c r="AG40" i="8"/>
  <c r="AD28" i="14" l="1"/>
  <c r="T27" i="8"/>
  <c r="AG27" i="8"/>
  <c r="AA46" i="8"/>
  <c r="AG46" i="8" s="1"/>
  <c r="Z24" i="14"/>
  <c r="AA24" i="8"/>
  <c r="T24" i="8" s="1"/>
  <c r="AD27" i="7"/>
  <c r="AD24" i="1"/>
  <c r="Z24" i="1"/>
  <c r="U23" i="8" s="1"/>
  <c r="C148" i="8" s="1"/>
  <c r="Y148" i="8" s="1"/>
  <c r="AG36" i="8"/>
  <c r="R43" i="8"/>
  <c r="Y27" i="14"/>
  <c r="AD27" i="14" s="1"/>
  <c r="AD27" i="1"/>
  <c r="Y150" i="8"/>
  <c r="Z25" i="8" s="1"/>
  <c r="AB150" i="8" s="1"/>
  <c r="AD29" i="1"/>
  <c r="Z29" i="1"/>
  <c r="U28" i="8" s="1"/>
  <c r="C153" i="8" s="1"/>
  <c r="AK28" i="8" s="1"/>
  <c r="AL28" i="8" s="1"/>
  <c r="Y29" i="14"/>
  <c r="Z29" i="14" s="1"/>
  <c r="T33" i="7"/>
  <c r="AD35" i="8" s="1"/>
  <c r="AA33" i="7"/>
  <c r="AA26" i="7"/>
  <c r="T26" i="7"/>
  <c r="AD28" i="8" s="1"/>
  <c r="Q153" i="8" s="1"/>
  <c r="U153" i="8" s="1"/>
  <c r="W153" i="8" s="1"/>
  <c r="Z30" i="1"/>
  <c r="U29" i="8" s="1"/>
  <c r="C154" i="8" s="1"/>
  <c r="Y30" i="14"/>
  <c r="H259" i="14"/>
  <c r="W258" i="14"/>
  <c r="Y258" i="14" s="1"/>
  <c r="Z26" i="14"/>
  <c r="AD26" i="14"/>
  <c r="Z27" i="14"/>
  <c r="S267" i="14"/>
  <c r="EH37" i="14"/>
  <c r="EK37" i="14" s="1"/>
  <c r="E268" i="14"/>
  <c r="T46" i="8"/>
  <c r="U269" i="1"/>
  <c r="AA25" i="8"/>
  <c r="AG25" i="8" s="1"/>
  <c r="AA31" i="8"/>
  <c r="T31" i="8" s="1"/>
  <c r="AD34" i="7"/>
  <c r="AD30" i="7"/>
  <c r="X24" i="8"/>
  <c r="T31" i="7"/>
  <c r="AD33" i="8" s="1"/>
  <c r="AK24" i="8"/>
  <c r="AL24" i="8" s="1"/>
  <c r="AA30" i="8"/>
  <c r="T30" i="8" s="1"/>
  <c r="AD31" i="7"/>
  <c r="AA33" i="8"/>
  <c r="T33" i="8" s="1"/>
  <c r="T30" i="7"/>
  <c r="AD32" i="8" s="1"/>
  <c r="AG39" i="8"/>
  <c r="AA37" i="8"/>
  <c r="T37" i="8" s="1"/>
  <c r="T44" i="8"/>
  <c r="S267" i="1"/>
  <c r="W267" i="1" s="1"/>
  <c r="Y267" i="1" s="1"/>
  <c r="Y31" i="1" s="1"/>
  <c r="EH30" i="1"/>
  <c r="EK30" i="1" s="1"/>
  <c r="T32" i="8"/>
  <c r="AG32" i="8"/>
  <c r="Y31" i="2"/>
  <c r="AC270" i="1" s="1"/>
  <c r="AB270" i="1" s="1"/>
  <c r="AB30" i="2"/>
  <c r="AG41" i="8"/>
  <c r="T41" i="8"/>
  <c r="AG42" i="8"/>
  <c r="T42" i="8"/>
  <c r="AA26" i="8"/>
  <c r="AD24" i="7"/>
  <c r="E268" i="1"/>
  <c r="R34" i="8"/>
  <c r="Q159" i="8"/>
  <c r="U159" i="8" s="1"/>
  <c r="W159" i="8" s="1"/>
  <c r="Q172" i="8"/>
  <c r="U172" i="8" s="1"/>
  <c r="W172" i="8" s="1"/>
  <c r="R47" i="8"/>
  <c r="Q163" i="8"/>
  <c r="U163" i="8" s="1"/>
  <c r="W163" i="8" s="1"/>
  <c r="R38" i="8"/>
  <c r="Y24" i="8"/>
  <c r="AB149" i="8"/>
  <c r="AG23" i="8"/>
  <c r="T23" i="8"/>
  <c r="AG43" i="8"/>
  <c r="T43" i="8"/>
  <c r="AG29" i="8"/>
  <c r="T29" i="8"/>
  <c r="AD30" i="1"/>
  <c r="AA34" i="8"/>
  <c r="AD32" i="7"/>
  <c r="Z27" i="8"/>
  <c r="X27" i="8"/>
  <c r="AA47" i="8"/>
  <c r="AD45" i="7"/>
  <c r="AK26" i="8"/>
  <c r="AL26" i="8" s="1"/>
  <c r="Y151" i="8"/>
  <c r="AD36" i="7"/>
  <c r="AA38" i="8"/>
  <c r="AG24" i="8" l="1"/>
  <c r="AK23" i="8"/>
  <c r="AL23" i="8" s="1"/>
  <c r="Y153" i="8"/>
  <c r="X28" i="8" s="1"/>
  <c r="X25" i="8"/>
  <c r="Y25" i="8"/>
  <c r="AB25" i="8" s="1"/>
  <c r="AD29" i="14"/>
  <c r="AD26" i="7"/>
  <c r="AA28" i="8"/>
  <c r="AA35" i="8"/>
  <c r="AD33" i="7"/>
  <c r="Q160" i="8"/>
  <c r="U160" i="8" s="1"/>
  <c r="W160" i="8" s="1"/>
  <c r="R35" i="8"/>
  <c r="Z30" i="14"/>
  <c r="AD30" i="14"/>
  <c r="H260" i="14"/>
  <c r="W259" i="14"/>
  <c r="Y259" i="14" s="1"/>
  <c r="Z31" i="1"/>
  <c r="U30" i="8" s="1"/>
  <c r="C155" i="8" s="1"/>
  <c r="Y31" i="14"/>
  <c r="E269" i="14"/>
  <c r="S268" i="14"/>
  <c r="EH38" i="14"/>
  <c r="EK38" i="14" s="1"/>
  <c r="AG31" i="8"/>
  <c r="T25" i="8"/>
  <c r="U270" i="1"/>
  <c r="AG37" i="8"/>
  <c r="AG30" i="8"/>
  <c r="AG33" i="8"/>
  <c r="R33" i="8"/>
  <c r="Q158" i="8"/>
  <c r="U158" i="8" s="1"/>
  <c r="W158" i="8" s="1"/>
  <c r="R32" i="8"/>
  <c r="Q157" i="8"/>
  <c r="U157" i="8" s="1"/>
  <c r="W157" i="8" s="1"/>
  <c r="EH31" i="1"/>
  <c r="EK31" i="1" s="1"/>
  <c r="S268" i="1"/>
  <c r="W268" i="1" s="1"/>
  <c r="Y268" i="1" s="1"/>
  <c r="Y32" i="1" s="1"/>
  <c r="Y32" i="2"/>
  <c r="AC271" i="1" s="1"/>
  <c r="AB271" i="1" s="1"/>
  <c r="AB31" i="2"/>
  <c r="AB24" i="8"/>
  <c r="T47" i="8"/>
  <c r="AG47" i="8"/>
  <c r="Z23" i="8"/>
  <c r="X23" i="8"/>
  <c r="Y27" i="8"/>
  <c r="AB152" i="8"/>
  <c r="AG34" i="8"/>
  <c r="T34" i="8"/>
  <c r="AD31" i="1"/>
  <c r="T38" i="8"/>
  <c r="AG38" i="8"/>
  <c r="Z26" i="8"/>
  <c r="X26" i="8"/>
  <c r="AK29" i="8"/>
  <c r="AL29" i="8" s="1"/>
  <c r="Y154" i="8"/>
  <c r="E269" i="1"/>
  <c r="T26" i="8"/>
  <c r="AG26" i="8"/>
  <c r="Z28" i="8" l="1"/>
  <c r="AA48" i="8"/>
  <c r="T35" i="8"/>
  <c r="AG35" i="8"/>
  <c r="T28" i="8"/>
  <c r="AG28" i="8"/>
  <c r="H261" i="14"/>
  <c r="W260" i="14"/>
  <c r="Y260" i="14" s="1"/>
  <c r="Z31" i="14"/>
  <c r="AD31" i="14"/>
  <c r="Z32" i="1"/>
  <c r="U31" i="8" s="1"/>
  <c r="C156" i="8" s="1"/>
  <c r="Y32" i="14"/>
  <c r="E270" i="14"/>
  <c r="S269" i="14"/>
  <c r="EH39" i="14"/>
  <c r="EK39" i="14" s="1"/>
  <c r="U271" i="1"/>
  <c r="R51" i="8"/>
  <c r="EH32" i="1"/>
  <c r="EK32" i="1" s="1"/>
  <c r="S269" i="1"/>
  <c r="AB32" i="2"/>
  <c r="Y33" i="2"/>
  <c r="AC272" i="1" s="1"/>
  <c r="AB272" i="1" s="1"/>
  <c r="AD32" i="1"/>
  <c r="Z29" i="8"/>
  <c r="X29" i="8"/>
  <c r="AB148" i="8"/>
  <c r="Y23" i="8"/>
  <c r="Y28" i="8"/>
  <c r="AB153" i="8"/>
  <c r="E270" i="1"/>
  <c r="Y26" i="8"/>
  <c r="AB151" i="8"/>
  <c r="AK30" i="8"/>
  <c r="AL30" i="8" s="1"/>
  <c r="Y155" i="8"/>
  <c r="AB27" i="8"/>
  <c r="AG48" i="8" l="1"/>
  <c r="Z32" i="14"/>
  <c r="AD32" i="14"/>
  <c r="H262" i="14"/>
  <c r="W261" i="14"/>
  <c r="Y261" i="14" s="1"/>
  <c r="E271" i="14"/>
  <c r="S270" i="14"/>
  <c r="EH40" i="14"/>
  <c r="EK40" i="14" s="1"/>
  <c r="U272" i="1"/>
  <c r="S270" i="1"/>
  <c r="W270" i="1" s="1"/>
  <c r="Y270" i="1" s="1"/>
  <c r="Y34" i="1" s="1"/>
  <c r="EH33" i="1"/>
  <c r="EK33" i="1" s="1"/>
  <c r="W269" i="1"/>
  <c r="Y269" i="1" s="1"/>
  <c r="Y33" i="1" s="1"/>
  <c r="AB33" i="2"/>
  <c r="Y34" i="2"/>
  <c r="AC273" i="1" s="1"/>
  <c r="AB273" i="1" s="1"/>
  <c r="E271" i="1"/>
  <c r="AB23" i="8"/>
  <c r="AB154" i="8"/>
  <c r="Y29" i="8"/>
  <c r="AK31" i="8"/>
  <c r="AL31" i="8" s="1"/>
  <c r="Y156" i="8"/>
  <c r="X30" i="8"/>
  <c r="Z30" i="8"/>
  <c r="AB26" i="8"/>
  <c r="AB28" i="8"/>
  <c r="Z34" i="1" l="1"/>
  <c r="U33" i="8" s="1"/>
  <c r="C158" i="8" s="1"/>
  <c r="Y34" i="14"/>
  <c r="Z33" i="1"/>
  <c r="U32" i="8" s="1"/>
  <c r="C157" i="8" s="1"/>
  <c r="Y157" i="8" s="1"/>
  <c r="Y33" i="14"/>
  <c r="H263" i="14"/>
  <c r="W262" i="14"/>
  <c r="Y262" i="14" s="1"/>
  <c r="S271" i="14"/>
  <c r="EH41" i="14"/>
  <c r="EK41" i="14" s="1"/>
  <c r="E272" i="14"/>
  <c r="U273" i="1"/>
  <c r="AD33" i="1"/>
  <c r="S271" i="1"/>
  <c r="W271" i="1" s="1"/>
  <c r="Y271" i="1" s="1"/>
  <c r="Y35" i="1" s="1"/>
  <c r="EH34" i="1"/>
  <c r="EK34" i="1" s="1"/>
  <c r="AB34" i="2"/>
  <c r="Y35" i="2"/>
  <c r="AC274" i="1" s="1"/>
  <c r="AB274" i="1" s="1"/>
  <c r="AB155" i="8"/>
  <c r="Y30" i="8"/>
  <c r="Z31" i="8"/>
  <c r="X31" i="8"/>
  <c r="AD34" i="1"/>
  <c r="E272" i="1"/>
  <c r="AB29" i="8"/>
  <c r="H264" i="14" l="1"/>
  <c r="W263" i="14"/>
  <c r="Y263" i="14" s="1"/>
  <c r="Z33" i="14"/>
  <c r="AD33" i="14"/>
  <c r="Z35" i="1"/>
  <c r="U34" i="8" s="1"/>
  <c r="C159" i="8" s="1"/>
  <c r="Y35" i="14"/>
  <c r="Z34" i="14"/>
  <c r="AD34" i="14"/>
  <c r="S272" i="14"/>
  <c r="EH42" i="14"/>
  <c r="EK42" i="14" s="1"/>
  <c r="E273" i="14"/>
  <c r="U274" i="1"/>
  <c r="AK32" i="8"/>
  <c r="AL32" i="8" s="1"/>
  <c r="EH35" i="1"/>
  <c r="EK35" i="1" s="1"/>
  <c r="S272" i="1"/>
  <c r="Y36" i="2"/>
  <c r="AC275" i="1" s="1"/>
  <c r="AB275" i="1" s="1"/>
  <c r="AB35" i="2"/>
  <c r="AD35" i="1"/>
  <c r="AK33" i="8"/>
  <c r="AL33" i="8" s="1"/>
  <c r="Y158" i="8"/>
  <c r="Y31" i="8"/>
  <c r="AB156" i="8"/>
  <c r="AB30" i="8"/>
  <c r="E273" i="1"/>
  <c r="Z32" i="8"/>
  <c r="X32" i="8"/>
  <c r="H265" i="14" l="1"/>
  <c r="W264" i="14"/>
  <c r="Y264" i="14" s="1"/>
  <c r="Z35" i="14"/>
  <c r="AD35" i="14"/>
  <c r="E274" i="14"/>
  <c r="S273" i="14"/>
  <c r="EH43" i="14"/>
  <c r="EK43" i="14" s="1"/>
  <c r="U275" i="1"/>
  <c r="S273" i="1"/>
  <c r="EH36" i="1"/>
  <c r="EK36" i="1" s="1"/>
  <c r="W272" i="1"/>
  <c r="Y272" i="1" s="1"/>
  <c r="Y36" i="1" s="1"/>
  <c r="Y37" i="2"/>
  <c r="AC276" i="1" s="1"/>
  <c r="AB276" i="1" s="1"/>
  <c r="AB36" i="2"/>
  <c r="AB157" i="8"/>
  <c r="Y32" i="8"/>
  <c r="E274" i="1"/>
  <c r="W273" i="1"/>
  <c r="Y273" i="1" s="1"/>
  <c r="Y37" i="1" s="1"/>
  <c r="Z33" i="8"/>
  <c r="X33" i="8"/>
  <c r="Y159" i="8"/>
  <c r="AK34" i="8"/>
  <c r="AL34" i="8" s="1"/>
  <c r="AB31" i="8"/>
  <c r="H266" i="14" l="1"/>
  <c r="W265" i="14"/>
  <c r="Y265" i="14" s="1"/>
  <c r="Z36" i="1"/>
  <c r="U35" i="8" s="1"/>
  <c r="C160" i="8" s="1"/>
  <c r="Y160" i="8" s="1"/>
  <c r="Y36" i="14"/>
  <c r="Z37" i="1"/>
  <c r="Y37" i="14"/>
  <c r="S274" i="14"/>
  <c r="EH44" i="14"/>
  <c r="EK44" i="14" s="1"/>
  <c r="E275" i="14"/>
  <c r="U276" i="1"/>
  <c r="AD36" i="1"/>
  <c r="S274" i="1"/>
  <c r="W274" i="1" s="1"/>
  <c r="Y274" i="1" s="1"/>
  <c r="Y38" i="1" s="1"/>
  <c r="EH37" i="1"/>
  <c r="EK37" i="1" s="1"/>
  <c r="Y38" i="2"/>
  <c r="AC277" i="1" s="1"/>
  <c r="AB277" i="1" s="1"/>
  <c r="AB37" i="2"/>
  <c r="AD37" i="1"/>
  <c r="U36" i="8"/>
  <c r="C161" i="8" s="1"/>
  <c r="Z34" i="8"/>
  <c r="X34" i="8"/>
  <c r="AB158" i="8"/>
  <c r="Y33" i="8"/>
  <c r="E275" i="1"/>
  <c r="AB32" i="8"/>
  <c r="Z38" i="1" l="1"/>
  <c r="U37" i="8" s="1"/>
  <c r="C162" i="8" s="1"/>
  <c r="Y38" i="14"/>
  <c r="H267" i="14"/>
  <c r="W266" i="14"/>
  <c r="Y266" i="14" s="1"/>
  <c r="Z36" i="14"/>
  <c r="AD36" i="14"/>
  <c r="Z37" i="14"/>
  <c r="AD37" i="14"/>
  <c r="E276" i="14"/>
  <c r="S275" i="14"/>
  <c r="EH45" i="14"/>
  <c r="EK45" i="14" s="1"/>
  <c r="U277" i="1"/>
  <c r="AK35" i="8"/>
  <c r="AL35" i="8" s="1"/>
  <c r="EH38" i="1"/>
  <c r="EK38" i="1" s="1"/>
  <c r="S275" i="1"/>
  <c r="AB38" i="2"/>
  <c r="Y39" i="2"/>
  <c r="AC278" i="1" s="1"/>
  <c r="AB278" i="1" s="1"/>
  <c r="AD38" i="1"/>
  <c r="AK36" i="8"/>
  <c r="AL36" i="8" s="1"/>
  <c r="Y161" i="8"/>
  <c r="E276" i="1"/>
  <c r="X35" i="8"/>
  <c r="Z35" i="8"/>
  <c r="AB159" i="8"/>
  <c r="Y34" i="8"/>
  <c r="AB33" i="8"/>
  <c r="H268" i="14" l="1"/>
  <c r="W267" i="14"/>
  <c r="Y267" i="14" s="1"/>
  <c r="Z38" i="14"/>
  <c r="AD38" i="14"/>
  <c r="S276" i="14"/>
  <c r="EH46" i="14"/>
  <c r="EK46" i="14" s="1"/>
  <c r="E277" i="14"/>
  <c r="U278" i="1"/>
  <c r="S276" i="1"/>
  <c r="W276" i="1" s="1"/>
  <c r="Y276" i="1" s="1"/>
  <c r="Y40" i="1" s="1"/>
  <c r="EH39" i="1"/>
  <c r="EK39" i="1" s="1"/>
  <c r="W275" i="1"/>
  <c r="Y275" i="1" s="1"/>
  <c r="Y39" i="1" s="1"/>
  <c r="AB39" i="2"/>
  <c r="Y40" i="2"/>
  <c r="AC279" i="1" s="1"/>
  <c r="AB279" i="1" s="1"/>
  <c r="Y35" i="8"/>
  <c r="AB160" i="8"/>
  <c r="Z36" i="8"/>
  <c r="X36" i="8"/>
  <c r="AB34" i="8"/>
  <c r="E277" i="1"/>
  <c r="AK37" i="8"/>
  <c r="AL37" i="8" s="1"/>
  <c r="Y162" i="8"/>
  <c r="Z40" i="1" l="1"/>
  <c r="U39" i="8" s="1"/>
  <c r="C164" i="8" s="1"/>
  <c r="Y40" i="14"/>
  <c r="H269" i="14"/>
  <c r="W268" i="14"/>
  <c r="Y268" i="14" s="1"/>
  <c r="Z39" i="1"/>
  <c r="U38" i="8" s="1"/>
  <c r="C163" i="8" s="1"/>
  <c r="AK38" i="8" s="1"/>
  <c r="AL38" i="8" s="1"/>
  <c r="Y39" i="14"/>
  <c r="S277" i="14"/>
  <c r="EH48" i="14" s="1"/>
  <c r="EK48" i="14" s="1"/>
  <c r="EH47" i="14"/>
  <c r="EK47" i="14" s="1"/>
  <c r="U279" i="1"/>
  <c r="AD39" i="1"/>
  <c r="EH40" i="1"/>
  <c r="EK40" i="1" s="1"/>
  <c r="S277" i="1"/>
  <c r="AB40" i="2"/>
  <c r="Y41" i="2"/>
  <c r="AC280" i="1" s="1"/>
  <c r="AB280" i="1" s="1"/>
  <c r="AB35" i="8"/>
  <c r="X37" i="8"/>
  <c r="Z37" i="8"/>
  <c r="AD40" i="1"/>
  <c r="E278" i="1"/>
  <c r="Y36" i="8"/>
  <c r="AB161" i="8"/>
  <c r="H270" i="14" l="1"/>
  <c r="W269" i="14"/>
  <c r="Y269" i="14" s="1"/>
  <c r="Z39" i="14"/>
  <c r="AD39" i="14"/>
  <c r="Z40" i="14"/>
  <c r="AD40" i="14"/>
  <c r="U280" i="1"/>
  <c r="Y163" i="8"/>
  <c r="X38" i="8" s="1"/>
  <c r="S278" i="1"/>
  <c r="W278" i="1" s="1"/>
  <c r="Y278" i="1" s="1"/>
  <c r="Y42" i="1" s="1"/>
  <c r="EH41" i="1"/>
  <c r="EK41" i="1" s="1"/>
  <c r="W277" i="1"/>
  <c r="Y277" i="1" s="1"/>
  <c r="Y41" i="1" s="1"/>
  <c r="Y42" i="2"/>
  <c r="AC281" i="1" s="1"/>
  <c r="AB281" i="1" s="1"/>
  <c r="AB41" i="2"/>
  <c r="AB36" i="8"/>
  <c r="Y37" i="8"/>
  <c r="AB162" i="8"/>
  <c r="E279" i="1"/>
  <c r="AK39" i="8"/>
  <c r="AL39" i="8" s="1"/>
  <c r="Y164" i="8"/>
  <c r="H271" i="14" l="1"/>
  <c r="W270" i="14"/>
  <c r="Y270" i="14" s="1"/>
  <c r="Z41" i="1"/>
  <c r="U40" i="8" s="1"/>
  <c r="C165" i="8" s="1"/>
  <c r="Y165" i="8" s="1"/>
  <c r="Y41" i="14"/>
  <c r="Z42" i="1"/>
  <c r="U41" i="8" s="1"/>
  <c r="C166" i="8" s="1"/>
  <c r="Y42" i="14"/>
  <c r="AH46" i="14"/>
  <c r="AH37" i="14"/>
  <c r="AC143" i="14"/>
  <c r="U281" i="1"/>
  <c r="AD41" i="1"/>
  <c r="Z38" i="8"/>
  <c r="Y38" i="8" s="1"/>
  <c r="EH42" i="1"/>
  <c r="EK42" i="1" s="1"/>
  <c r="S279" i="1"/>
  <c r="W279" i="1" s="1"/>
  <c r="Y279" i="1" s="1"/>
  <c r="Y43" i="1" s="1"/>
  <c r="AB37" i="8"/>
  <c r="Y43" i="2"/>
  <c r="AC282" i="1" s="1"/>
  <c r="AB282" i="1" s="1"/>
  <c r="AB42" i="2"/>
  <c r="X39" i="8"/>
  <c r="Z39" i="8"/>
  <c r="AD42" i="1"/>
  <c r="E280" i="1"/>
  <c r="Z43" i="1" l="1"/>
  <c r="U42" i="8" s="1"/>
  <c r="C167" i="8" s="1"/>
  <c r="Y43" i="14"/>
  <c r="H272" i="14"/>
  <c r="W271" i="14"/>
  <c r="Y271" i="14" s="1"/>
  <c r="Z41" i="14"/>
  <c r="AD41" i="14"/>
  <c r="Z42" i="14"/>
  <c r="AD42" i="14"/>
  <c r="AC146" i="14"/>
  <c r="AC145" i="14"/>
  <c r="U282" i="1"/>
  <c r="AB163" i="8"/>
  <c r="AB38" i="8" s="1"/>
  <c r="AK40" i="8"/>
  <c r="AL40" i="8" s="1"/>
  <c r="EH43" i="1"/>
  <c r="EK43" i="1" s="1"/>
  <c r="S280" i="1"/>
  <c r="Y44" i="2"/>
  <c r="AC283" i="1" s="1"/>
  <c r="AB283" i="1" s="1"/>
  <c r="AB43" i="2"/>
  <c r="AD43" i="1"/>
  <c r="Z40" i="8"/>
  <c r="X40" i="8"/>
  <c r="AB164" i="8"/>
  <c r="Y39" i="8"/>
  <c r="E281" i="1"/>
  <c r="AK41" i="8"/>
  <c r="AL41" i="8" s="1"/>
  <c r="Y166" i="8"/>
  <c r="AC147" i="14" l="1"/>
  <c r="AC148" i="14" s="1"/>
  <c r="T141" i="14" s="1"/>
  <c r="T143" i="14" s="1"/>
  <c r="H148" i="14" s="1"/>
  <c r="H273" i="14"/>
  <c r="W272" i="14"/>
  <c r="Y272" i="14" s="1"/>
  <c r="Z43" i="14"/>
  <c r="AD43" i="14"/>
  <c r="U283" i="1"/>
  <c r="EH44" i="1"/>
  <c r="EK44" i="1" s="1"/>
  <c r="S281" i="1"/>
  <c r="W280" i="1"/>
  <c r="Y280" i="1" s="1"/>
  <c r="Y44" i="1" s="1"/>
  <c r="Y45" i="2"/>
  <c r="AB44" i="2"/>
  <c r="X41" i="8"/>
  <c r="Z41" i="8"/>
  <c r="E282" i="1"/>
  <c r="Y40" i="8"/>
  <c r="AB165" i="8"/>
  <c r="AK42" i="8"/>
  <c r="AL42" i="8" s="1"/>
  <c r="Y167" i="8"/>
  <c r="AB39" i="8"/>
  <c r="N141" i="14" l="1"/>
  <c r="H274" i="14"/>
  <c r="W273" i="14"/>
  <c r="Y273" i="14" s="1"/>
  <c r="Z44" i="1"/>
  <c r="U43" i="8" s="1"/>
  <c r="C168" i="8" s="1"/>
  <c r="Y44" i="14"/>
  <c r="H150" i="14"/>
  <c r="H154" i="14" s="1"/>
  <c r="AH35" i="14"/>
  <c r="AB45" i="2"/>
  <c r="AC284" i="1"/>
  <c r="AD44" i="1"/>
  <c r="S282" i="1"/>
  <c r="W282" i="1" s="1"/>
  <c r="Y282" i="1" s="1"/>
  <c r="Y46" i="1" s="1"/>
  <c r="EH45" i="1"/>
  <c r="EK45" i="1" s="1"/>
  <c r="W281" i="1"/>
  <c r="Y281" i="1" s="1"/>
  <c r="Y45" i="1" s="1"/>
  <c r="AB40" i="8"/>
  <c r="X42" i="8"/>
  <c r="Z42" i="8"/>
  <c r="Y41" i="8"/>
  <c r="AB166" i="8"/>
  <c r="E283" i="1"/>
  <c r="Z45" i="1" l="1"/>
  <c r="U44" i="8" s="1"/>
  <c r="C169" i="8" s="1"/>
  <c r="Y169" i="8" s="1"/>
  <c r="Y45" i="14"/>
  <c r="H275" i="14"/>
  <c r="W274" i="14"/>
  <c r="Y274" i="14" s="1"/>
  <c r="Z44" i="14"/>
  <c r="AD44" i="14"/>
  <c r="Z46" i="1"/>
  <c r="U45" i="8" s="1"/>
  <c r="C170" i="8" s="1"/>
  <c r="Y46" i="14"/>
  <c r="AB284" i="1"/>
  <c r="U284" i="1" s="1"/>
  <c r="Y168" i="8"/>
  <c r="Z43" i="8" s="1"/>
  <c r="AK43" i="8"/>
  <c r="AL43" i="8" s="1"/>
  <c r="AD45" i="1"/>
  <c r="EH46" i="1"/>
  <c r="EK46" i="1" s="1"/>
  <c r="S283" i="1"/>
  <c r="AB41" i="8"/>
  <c r="AD46" i="1"/>
  <c r="Y42" i="8"/>
  <c r="AB167" i="8"/>
  <c r="E284" i="1"/>
  <c r="Z46" i="14" l="1"/>
  <c r="AD46" i="14"/>
  <c r="H276" i="14"/>
  <c r="W275" i="14"/>
  <c r="Y275" i="14" s="1"/>
  <c r="Z45" i="14"/>
  <c r="AD45" i="14"/>
  <c r="X43" i="8"/>
  <c r="AK44" i="8"/>
  <c r="AL44" i="8" s="1"/>
  <c r="S284" i="1"/>
  <c r="EH48" i="1" s="1"/>
  <c r="EK48" i="1" s="1"/>
  <c r="EH47" i="1"/>
  <c r="EK47" i="1" s="1"/>
  <c r="W283" i="1"/>
  <c r="Y283" i="1" s="1"/>
  <c r="Y47" i="1" s="1"/>
  <c r="AB42" i="8"/>
  <c r="Z44" i="8"/>
  <c r="X44" i="8"/>
  <c r="Y43" i="8"/>
  <c r="AB168" i="8"/>
  <c r="Y170" i="8"/>
  <c r="AK45" i="8"/>
  <c r="AL45" i="8" s="1"/>
  <c r="W284" i="1" l="1"/>
  <c r="Y284" i="1" s="1"/>
  <c r="Y48" i="1" s="1"/>
  <c r="AD48" i="1" s="1"/>
  <c r="Z47" i="1"/>
  <c r="U46" i="8" s="1"/>
  <c r="C171" i="8" s="1"/>
  <c r="Y171" i="8" s="1"/>
  <c r="Y47" i="14"/>
  <c r="H277" i="14"/>
  <c r="W277" i="14" s="1"/>
  <c r="Y277" i="14" s="1"/>
  <c r="W276" i="14"/>
  <c r="Y276" i="14" s="1"/>
  <c r="AD47" i="1"/>
  <c r="X45" i="8"/>
  <c r="Z45" i="8"/>
  <c r="AB169" i="8"/>
  <c r="Y44" i="8"/>
  <c r="AB43" i="8"/>
  <c r="Y48" i="14" l="1"/>
  <c r="AD48" i="14" s="1"/>
  <c r="Y50" i="1"/>
  <c r="U52" i="14" s="1"/>
  <c r="Z48" i="1"/>
  <c r="U47" i="8" s="1"/>
  <c r="C172" i="8" s="1"/>
  <c r="AK47" i="8" s="1"/>
  <c r="AL47" i="8" s="1"/>
  <c r="Z47" i="14"/>
  <c r="AD47" i="14"/>
  <c r="AD50" i="1"/>
  <c r="AK46" i="8"/>
  <c r="AL46" i="8" s="1"/>
  <c r="AB44" i="8"/>
  <c r="Y45" i="8"/>
  <c r="AB170" i="8"/>
  <c r="X46" i="8"/>
  <c r="Z46" i="8"/>
  <c r="Z48" i="14" l="1"/>
  <c r="J50" i="1"/>
  <c r="J49" i="8" s="1"/>
  <c r="AH46" i="1"/>
  <c r="U52" i="1"/>
  <c r="AH37" i="1"/>
  <c r="AC144" i="1"/>
  <c r="AC147" i="1" s="1"/>
  <c r="Y172" i="8"/>
  <c r="X47" i="8" s="1"/>
  <c r="AD50" i="14"/>
  <c r="AB45" i="8"/>
  <c r="Y46" i="8"/>
  <c r="AB171" i="8"/>
  <c r="Z47" i="8" l="1"/>
  <c r="AB172" i="8" s="1"/>
  <c r="J50" i="14"/>
  <c r="AH40" i="14" s="1"/>
  <c r="AA49" i="8"/>
  <c r="Z139" i="8" s="1"/>
  <c r="Z143" i="8" s="1"/>
  <c r="AA50" i="8" s="1"/>
  <c r="H93" i="8" s="1"/>
  <c r="Y2" i="8" s="1"/>
  <c r="AE34" i="8" s="1"/>
  <c r="AE39" i="8"/>
  <c r="AH40" i="1"/>
  <c r="AC146" i="1"/>
  <c r="AC148" i="1" s="1"/>
  <c r="AC149" i="1" s="1"/>
  <c r="T142" i="1" s="1"/>
  <c r="T144" i="1" s="1"/>
  <c r="N142" i="1" s="1"/>
  <c r="Y47" i="8"/>
  <c r="Y49" i="8" s="1"/>
  <c r="AE36" i="8" s="1"/>
  <c r="AB46" i="8"/>
  <c r="AB88" i="8"/>
  <c r="H95" i="8" l="1"/>
  <c r="H99" i="8" s="1"/>
  <c r="H149" i="1"/>
  <c r="Y2" i="1" s="1"/>
  <c r="AH35" i="1" s="1"/>
  <c r="AB47" i="8"/>
  <c r="H151" i="1" l="1"/>
  <c r="H155" i="1" s="1"/>
</calcChain>
</file>

<file path=xl/sharedStrings.xml><?xml version="1.0" encoding="utf-8"?>
<sst xmlns="http://schemas.openxmlformats.org/spreadsheetml/2006/main" count="1848" uniqueCount="650">
  <si>
    <t>Named Insured</t>
  </si>
  <si>
    <t>Broker</t>
  </si>
  <si>
    <t xml:space="preserve"> </t>
  </si>
  <si>
    <t>Street</t>
  </si>
  <si>
    <t>City, Prov, Pcode</t>
  </si>
  <si>
    <t>Producer</t>
  </si>
  <si>
    <t>Policy #</t>
  </si>
  <si>
    <t>Annual Revenue</t>
  </si>
  <si>
    <t>Expiry Date</t>
  </si>
  <si>
    <t>Payment Plan</t>
  </si>
  <si>
    <t>5</t>
  </si>
  <si>
    <t>#</t>
  </si>
  <si>
    <t>Year</t>
  </si>
  <si>
    <t>Make</t>
  </si>
  <si>
    <t>Description</t>
  </si>
  <si>
    <t>Model</t>
  </si>
  <si>
    <t>Serial #</t>
  </si>
  <si>
    <r>
      <t xml:space="preserve">Limit </t>
    </r>
    <r>
      <rPr>
        <b/>
        <sz val="8"/>
        <color indexed="9"/>
        <rFont val="Arial"/>
        <family val="2"/>
      </rPr>
      <t>of Ins</t>
    </r>
    <r>
      <rPr>
        <b/>
        <sz val="10"/>
        <color indexed="9"/>
        <rFont val="Arial"/>
        <family val="2"/>
      </rPr>
      <t>.</t>
    </r>
  </si>
  <si>
    <t>N</t>
  </si>
  <si>
    <t>STATUS</t>
  </si>
  <si>
    <t>NAME</t>
  </si>
  <si>
    <t>ADDRESS</t>
  </si>
  <si>
    <t>CITY, PR, PC</t>
  </si>
  <si>
    <t>BROKERAGE</t>
  </si>
  <si>
    <t>BROKER</t>
  </si>
  <si>
    <t>POLICY NUMBER</t>
  </si>
  <si>
    <t>BILL PLAN</t>
  </si>
  <si>
    <t>ANNUAL REVENUE</t>
  </si>
  <si>
    <t>EXPIRY DATE</t>
  </si>
  <si>
    <t>TOTAL PREMIUM</t>
  </si>
  <si>
    <t>TIV</t>
  </si>
  <si>
    <t>EQUIP PREM</t>
  </si>
  <si>
    <t>PROPERTY PREM</t>
  </si>
  <si>
    <t>LIABILITY PREM</t>
  </si>
  <si>
    <t>AV RATE</t>
  </si>
  <si>
    <t>DATE LAST CLAIM</t>
  </si>
  <si>
    <t># OF MACHINES</t>
  </si>
  <si>
    <t xml:space="preserve">TIV  </t>
  </si>
  <si>
    <t>RATE CALCULATOR</t>
  </si>
  <si>
    <t>MACHINE #</t>
  </si>
  <si>
    <t>START RATE</t>
  </si>
  <si>
    <t>LIMIT</t>
  </si>
  <si>
    <t>RATE</t>
  </si>
  <si>
    <t>PREMIUM</t>
  </si>
  <si>
    <t>RENTAL REIMBURSEMENT</t>
  </si>
  <si>
    <t>Machine #s</t>
  </si>
  <si>
    <t>X</t>
  </si>
  <si>
    <t>=</t>
  </si>
  <si>
    <t>TOTAL</t>
  </si>
  <si>
    <t>SER #</t>
  </si>
  <si>
    <t>LIENHOLDER INFORMATION</t>
  </si>
  <si>
    <t xml:space="preserve">$5 MILLION  </t>
  </si>
  <si>
    <t xml:space="preserve">$3 MILLION  </t>
  </si>
  <si>
    <t xml:space="preserve">$1 MILLION  </t>
  </si>
  <si>
    <t>PREMIUM AND FEE INFORMATION</t>
  </si>
  <si>
    <t>exp term</t>
  </si>
  <si>
    <t>CALCULTED PROGRAM RATE</t>
  </si>
  <si>
    <t>EXPIRING RATE</t>
  </si>
  <si>
    <t>CONTACT INFORMATION:</t>
  </si>
  <si>
    <t>DETAILED LOCATION OF MACHINES:</t>
  </si>
  <si>
    <t>REQUEST FOR EQUIPMENT INSPECTION</t>
  </si>
  <si>
    <t>MACHINES FOR INSPECTION</t>
  </si>
  <si>
    <t>NAMED INSURED:</t>
  </si>
  <si>
    <t xml:space="preserve">ADDRESS: </t>
  </si>
  <si>
    <t>INVOICE TO:</t>
  </si>
  <si>
    <t>MACHINE LOCATION:</t>
  </si>
  <si>
    <t>CONTACT PERSON(S):</t>
  </si>
  <si>
    <t>PHONE:</t>
  </si>
  <si>
    <t>FAX/ EMAIL:</t>
  </si>
  <si>
    <t>NOTES:</t>
  </si>
  <si>
    <t>Deductible (%)</t>
  </si>
  <si>
    <t xml:space="preserve">Date last claim </t>
  </si>
  <si>
    <t>ROADBUILDING</t>
  </si>
  <si>
    <t>MIN RATE</t>
  </si>
  <si>
    <t xml:space="preserve">Claim Amount </t>
  </si>
  <si>
    <t>LIEN AMOUNT</t>
  </si>
  <si>
    <t>APPLICANT INFORMATION:</t>
  </si>
  <si>
    <t>CONTACT PERSON:</t>
  </si>
  <si>
    <t>TELEPHONE</t>
  </si>
  <si>
    <t>CELL PHONE</t>
  </si>
  <si>
    <t>FAX NUMBER</t>
  </si>
  <si>
    <t>EMAIL ADDRESS</t>
  </si>
  <si>
    <t>IF CORPORATION, LIST SHAREHOLDERS:</t>
  </si>
  <si>
    <t>LOSS HISTORY:</t>
  </si>
  <si>
    <t>CURRENT INSURER</t>
  </si>
  <si>
    <t>HAS INSURANCE EVER BEEN CANCELLED?</t>
  </si>
  <si>
    <t>(IF YES, EXPLAIN IN DETAIL)</t>
  </si>
  <si>
    <t>HAS COVERAGE EVER BEEN REFUSED?</t>
  </si>
  <si>
    <t>ANY BANKRUPTCY IN PAST 5 YEARS?</t>
  </si>
  <si>
    <t>STARTUP YEAR FOR THE BUSINESS?</t>
  </si>
  <si>
    <t>YEARS IN THE FORESTRY INDUSTRY?</t>
  </si>
  <si>
    <t>HAS A CLAIM EVER BEEN DENIED?</t>
  </si>
  <si>
    <t>IS THERE AN EXPIRY DATE ON THE AGREEMENT?</t>
  </si>
  <si>
    <t>OPERATIONS</t>
  </si>
  <si>
    <t>TERRAIN TYPE WHERE OPERATIONS CONDUCTED</t>
  </si>
  <si>
    <t>ANY EXPOSURE TO ICE/MUSKEG ?</t>
  </si>
  <si>
    <t>ANY WATERBORNE EXPOSURE ?</t>
  </si>
  <si>
    <t>OPERATORS</t>
  </si>
  <si>
    <t>TRAINING</t>
  </si>
  <si>
    <t>EXPERIENCE</t>
  </si>
  <si>
    <t>AGE</t>
  </si>
  <si>
    <t>MILL OR CONTRACTOR REPORTED  TO?</t>
  </si>
  <si>
    <t>Y/N</t>
  </si>
  <si>
    <t>Include date of loss(es), type of loss, amount of loss, whether paid, measures taken to prevent loss, measures taken to prevent another similar loss - Note that insured must be able to provide loss history in writing upon request</t>
  </si>
  <si>
    <t>(Attach list if there are more operators)</t>
  </si>
  <si>
    <t xml:space="preserve">Neither the Insured’s nor the Insurer’s signature is binding, however, if the application is accepted by both parties, it will form part of the policy and the Insured is under obligation to advise without delay any changes that may affect the conditions described below. </t>
  </si>
  <si>
    <t>INDICATE ANY PERIODS OPERATIONS ARE SHUT DOWN</t>
  </si>
  <si>
    <t>MEASURES TAKEN TO PREVENT THEFT DURING DOWN-TIME:</t>
  </si>
  <si>
    <t>IS EQUIPMENT LAID UP TO SPECIFICATIONS?</t>
  </si>
  <si>
    <t>DO YOU HAVE A SAFETY OFFICER OR TRAINER?</t>
  </si>
  <si>
    <t>LIST ANY OUTSTANDING MEASURES TAKEN TO PREVENT LOSSES AND PROVIDE A SAFE WORKING ENVIRONMENT</t>
  </si>
  <si>
    <t>ANY ANTITHEFT DEVICES?</t>
  </si>
  <si>
    <t>MAINTENANCE</t>
  </si>
  <si>
    <t>DO YOU HAVE A LICENSED MECHANIC ON STAFF?</t>
  </si>
  <si>
    <t xml:space="preserve">INDICATE FREQUENCY OF MAINTENANCE </t>
  </si>
  <si>
    <t xml:space="preserve">ANNUAL REVENUE (AS ABOVE) </t>
  </si>
  <si>
    <t>ANY ANTICIPATED CHANGE IN REVENUE?</t>
  </si>
  <si>
    <t>DESCRIBE THE NATURE OF YOUR OPERATIONS</t>
  </si>
  <si>
    <t>ANNUAL PAYROLL COSTS:</t>
  </si>
  <si>
    <t>ANNUAL GROSS SUBLET COSTS:</t>
  </si>
  <si>
    <t>(DETAIL)</t>
  </si>
  <si>
    <t>ANY REPOSSESSIONS IN PAST 5 YRS?</t>
  </si>
  <si>
    <t>ARE ALL EMPLOYEES REGISTERED FOR WSIB?</t>
  </si>
  <si>
    <t>IF INDEPENDENT OPERATORS, ARE WSIB ASSESSMENTS  VERIFIED AND ON FILE?</t>
  </si>
  <si>
    <t>IS ALL EQUIPMENT FREED OF DEBRIS AT SHUTDOWN?</t>
  </si>
  <si>
    <t>ARE ALL COMPARTMENTS MAINTAINED FREE OF DEBRIS AND OIL BUILDUP?</t>
  </si>
  <si>
    <t>ARE BATTERY DISCONNECT SWITCHES OPERATIONAL, AND LEFT IN "OFF" POSITION WHEN MACHINES ARE NOT IN USE?</t>
  </si>
  <si>
    <t>LIST ALL MODIFICATIONS, ADDITIONS OR ALTERATIONS TO ANY SCHEDULED MACHINES,  AND INDICATE WHETHER WORK WAS PERFORMED BY A QUALIFIED MECHANIC</t>
  </si>
  <si>
    <t>ARE ALL GUAGES OPERATIONAL?</t>
  </si>
  <si>
    <t>DO YOU HAVE A NON-SMOKING POLICY?</t>
  </si>
  <si>
    <t>ARE WRITTEN SERVICE RECORDS MAINTAINED?</t>
  </si>
  <si>
    <t>DO YOU LOAN ANY EQUIPEMENT TO OTHERS?</t>
  </si>
  <si>
    <t>WHO CONDUCTS MAINTENANCE INSPECTIONS?</t>
  </si>
  <si>
    <t>WHAT QUALIFICATIONS DO THEY HAVE?</t>
  </si>
  <si>
    <t>IS ANY WELDING CONDUCTED?</t>
  </si>
  <si>
    <t>IF SO, WHAT WELDING REGULATIONS/CONTROLS ARE IN PLACE?</t>
  </si>
  <si>
    <t>DO YOU ALLOW ANYONE OTHER THAN QUALIFIED EMPLOYEES TO OPERATE YOUR EQUIPMENT</t>
  </si>
  <si>
    <t>DETAILED DIRECTIONS RE. MACHINE LOCATION(S):</t>
  </si>
  <si>
    <t>NAMED INSURED: (AS ABOVE)</t>
  </si>
  <si>
    <t>Is there any other material fact within your knowledge regarding this proposal of insurance which should be submitted for consideration?</t>
  </si>
  <si>
    <t>Yes</t>
  </si>
  <si>
    <t>No</t>
  </si>
  <si>
    <t>Has coverage ever been declined or cancelled by an insurance carrier?</t>
  </si>
  <si>
    <t>I hereby verify that the information in this submission and application for insurance is correct to the best of my knowledge.  I understand that the information will be used by the underwriter/insurer to assess the risk, and that any misrepresentation or non-disclosure of a material fact can void insurance coverage.</t>
  </si>
  <si>
    <r>
      <t xml:space="preserve">Have you explained terms, conditions and limitations of proposed policy to the applicant ? </t>
    </r>
    <r>
      <rPr>
        <b/>
        <sz val="10"/>
        <color indexed="8"/>
        <rFont val="Times New Roman"/>
        <family val="1"/>
      </rPr>
      <t>     </t>
    </r>
  </si>
  <si>
    <r>
      <t xml:space="preserve">Do you recommend this risk in every respect ? </t>
    </r>
    <r>
      <rPr>
        <b/>
        <sz val="10"/>
        <color indexed="8"/>
        <rFont val="Times New Roman"/>
        <family val="1"/>
      </rPr>
      <t>     </t>
    </r>
  </si>
  <si>
    <r>
      <t xml:space="preserve">Do you know the applicant personally ? </t>
    </r>
    <r>
      <rPr>
        <b/>
        <sz val="10"/>
        <color indexed="8"/>
        <rFont val="Times New Roman"/>
        <family val="1"/>
      </rPr>
      <t>     </t>
    </r>
  </si>
  <si>
    <r>
      <t xml:space="preserve">     Did you receive the order directly from the applicant, or from partner, spouse or other agent of the applicant?                        </t>
    </r>
    <r>
      <rPr>
        <b/>
        <sz val="10"/>
        <color indexed="8"/>
        <rFont val="Times New Roman"/>
        <family val="1"/>
      </rPr>
      <t>          </t>
    </r>
  </si>
  <si>
    <r>
      <t>Do you handle other insurance for the applicant ?</t>
    </r>
    <r>
      <rPr>
        <b/>
        <sz val="10"/>
        <color indexed="8"/>
        <rFont val="Times New Roman"/>
        <family val="1"/>
      </rPr>
      <t xml:space="preserve">      </t>
    </r>
  </si>
  <si>
    <r>
      <t>Is this risk a renewal for your agency ?</t>
    </r>
    <r>
      <rPr>
        <b/>
        <sz val="10"/>
        <color indexed="8"/>
        <rFont val="Times New Roman"/>
        <family val="1"/>
      </rPr>
      <t xml:space="preserve">      </t>
    </r>
  </si>
  <si>
    <r>
      <t>If so, how long have you placed insurance on this risk ?</t>
    </r>
    <r>
      <rPr>
        <b/>
        <sz val="10"/>
        <color indexed="8"/>
        <rFont val="Times New Roman"/>
        <family val="1"/>
      </rPr>
      <t xml:space="preserve">      </t>
    </r>
  </si>
  <si>
    <t>YES</t>
  </si>
  <si>
    <t>NO</t>
  </si>
  <si>
    <t>SIGNATURE</t>
  </si>
  <si>
    <t>DATE</t>
  </si>
  <si>
    <t>RR LIMIT</t>
  </si>
  <si>
    <t>Rental Reimbursement</t>
  </si>
  <si>
    <t>RR</t>
  </si>
  <si>
    <r>
      <t xml:space="preserve">IS EQUIPMENT EVER LEFT RUNNING </t>
    </r>
    <r>
      <rPr>
        <sz val="8"/>
        <color indexed="8"/>
        <rFont val="Arial"/>
        <family val="2"/>
      </rPr>
      <t>UNATTENDED?</t>
    </r>
  </si>
  <si>
    <t>MEMO</t>
  </si>
  <si>
    <t>LIST ALL LOSSES OR REPORTABLE INCIDENTS IN PAST 5 YEARS THAT RESULTED IN A CLAIM OR WOULD HAVE BEEN COVERED BY THIS INSURANCE:</t>
  </si>
  <si>
    <t>PREVIOUS INSURANCE AND FINANCIAL STABILITY</t>
  </si>
  <si>
    <t>ANY SOURCES OF REVENUE OTHER THAN HARVESTING OR HAULING OPERATIONS?</t>
  </si>
  <si>
    <t>ITEM #</t>
  </si>
  <si>
    <t>LIENHOLDER (OR LESSOR) NAME AND FULL ADDRESS</t>
  </si>
  <si>
    <r>
      <t xml:space="preserve">for the </t>
    </r>
    <r>
      <rPr>
        <b/>
        <sz val="14"/>
        <color indexed="10"/>
        <rFont val="Arial"/>
        <family val="2"/>
      </rPr>
      <t>APPLICANT:</t>
    </r>
  </si>
  <si>
    <r>
      <t xml:space="preserve">for the </t>
    </r>
    <r>
      <rPr>
        <b/>
        <sz val="14"/>
        <color indexed="10"/>
        <rFont val="Arial"/>
        <family val="2"/>
      </rPr>
      <t>BROKER:</t>
    </r>
  </si>
  <si>
    <t>ITEM # (s)</t>
  </si>
  <si>
    <t xml:space="preserve">LIEN AMOUNT </t>
  </si>
  <si>
    <t xml:space="preserve">  TOTAL RATE ADJUSTMENT</t>
  </si>
  <si>
    <t xml:space="preserve"> CURRENT OR PREV MODEL</t>
  </si>
  <si>
    <t xml:space="preserve"> OLDER MACHINE SURCHARGE</t>
  </si>
  <si>
    <t xml:space="preserve"> PRIOR CLAIMS SURCHARGE</t>
  </si>
  <si>
    <t># of inspections</t>
  </si>
  <si>
    <t>FULL STREET OR LEGAL ADDRESS IF NOT INDICATED IN MAILING ADDRESS</t>
  </si>
  <si>
    <t>WHERE IS EQUIPMENT STORED WHEN NOT IN USE?  (INDICATE WHETHER THEY ARE EVER STORED ON YOUR OWN PROPERTY)</t>
  </si>
  <si>
    <t>AUTO</t>
  </si>
  <si>
    <t>OTHER</t>
  </si>
  <si>
    <t>Commission, Equip</t>
  </si>
  <si>
    <t>Commission, Auto</t>
  </si>
  <si>
    <t>CLAIMS FREE 3 YEARS</t>
  </si>
  <si>
    <t>MAINTENANCE SCHEDULE</t>
  </si>
  <si>
    <t>-.10 per UNIT</t>
  </si>
  <si>
    <t>ATTENTION:</t>
  </si>
  <si>
    <t>$2MFFFE</t>
  </si>
  <si>
    <t>$1MFFFE</t>
  </si>
  <si>
    <t>250FFFE</t>
  </si>
  <si>
    <t>500 FFFE</t>
  </si>
  <si>
    <t>INCL</t>
  </si>
  <si>
    <t>$1m</t>
  </si>
  <si>
    <t>$2M</t>
  </si>
  <si>
    <t>$3M</t>
  </si>
  <si>
    <t>$4M</t>
  </si>
  <si>
    <t>$5M</t>
  </si>
  <si>
    <t>Last Updated Jan 2007</t>
  </si>
  <si>
    <t>NBS DEDUCTIBLE BUY-DOWN</t>
  </si>
  <si>
    <t>Current Deductible</t>
  </si>
  <si>
    <t>Buy-Down Proposed</t>
  </si>
  <si>
    <t>Machine Rate</t>
  </si>
  <si>
    <t>Self- Insured Retention</t>
  </si>
  <si>
    <r>
      <t>SIGNATURES</t>
    </r>
    <r>
      <rPr>
        <b/>
        <sz val="16"/>
        <rFont val="Arial"/>
        <family val="2"/>
      </rPr>
      <t xml:space="preserve"> - DEDUCTIBLE BUY-DOWN</t>
    </r>
  </si>
  <si>
    <t>In regards to this insurance contract requested from National Brokerage Services, I have provided personal information together with this document and otherwise and I may in the future provide further personal information. Some of this personal information may include, but is not limited to, my credit information and claims history. I authorize my broker or insurance company to collect, use and disclose any of this personal information, subject to the law and to my broker’s or insurance company’s policy regarding personal information, for the purposes of communicating with me, assessing my application for insurance and underwriting my policies, evaluating claims, detecting and preventing fraud, and analyzing business results. I confirm that all individuals whose personal information is so provided have authorized that I agree to the above on their behalf.</t>
  </si>
  <si>
    <t>I am applying for insurance based on information provided above with respect to this application or any renewal or change to my coverage, I authorize you to collect, use and disclose information for the purpose necessary to assess the risk, investigate and settle claim, detect and prevent fraud such as credit rating and claim history.  I, the undersigned, authorize The National Brokerage Services, to obtain or exchange any personal information with any personal information agent towards establishing or veryifying my financial standing.  I am aware that my personal information will be shared with insurance underwriters and insurance carriers for the purpose of procuring insurance as per this application.  I authorize the collection, use and disclosure of personal information as required in that endeavor and as permitted pursuant to relevant privacy or other laws.  We will only collect, use or disclose personal information that is necessary for the identified purposes or as required by law.  Further details regarding the handling of your personal information are available from your Broker.</t>
  </si>
  <si>
    <t>Underwriter:</t>
  </si>
  <si>
    <t>Min</t>
  </si>
  <si>
    <t>Mix</t>
  </si>
  <si>
    <t>Max</t>
  </si>
  <si>
    <t xml:space="preserve">Machine Rate </t>
  </si>
  <si>
    <t>MAX Annual Payout</t>
  </si>
  <si>
    <t xml:space="preserve">  Premium</t>
  </si>
  <si>
    <t>(%)</t>
  </si>
  <si>
    <t>CREDIT, TIV&gt; $1.5M</t>
  </si>
  <si>
    <t>TOTAL CREDITS</t>
  </si>
  <si>
    <t>BASE FACTOR</t>
  </si>
  <si>
    <t>MACHINE VALUE &gt; $250,000</t>
  </si>
  <si>
    <t>PRIOR CLAIM</t>
  </si>
  <si>
    <t xml:space="preserve">HIGH MACHINE DEDUCTIBLE </t>
  </si>
  <si>
    <t>TOTAL SURCHARGES</t>
  </si>
  <si>
    <t>NET CREDIT/SURCHARGE</t>
  </si>
  <si>
    <t>MACHINE RATE</t>
  </si>
  <si>
    <t>BUY-DOWN RATE</t>
  </si>
  <si>
    <t>Y</t>
  </si>
  <si>
    <t xml:space="preserve">  </t>
  </si>
  <si>
    <t xml:space="preserve">$4 MILLION  </t>
  </si>
  <si>
    <t>$2 MILLION   (Standard)</t>
  </si>
  <si>
    <t xml:space="preserve">  Older Machine S/C</t>
  </si>
  <si>
    <t>NA</t>
  </si>
  <si>
    <t>!00m</t>
  </si>
  <si>
    <t>200m</t>
  </si>
  <si>
    <t xml:space="preserve">         Inspections </t>
  </si>
  <si>
    <t>MEMO, PREMIUM NET OF INSPECTIONS</t>
  </si>
  <si>
    <t>UNDERWRITING FEE</t>
  </si>
  <si>
    <t>ISSUANCE FEE</t>
  </si>
  <si>
    <t>del</t>
  </si>
  <si>
    <t>fb</t>
  </si>
  <si>
    <t>pr</t>
  </si>
  <si>
    <t>sl</t>
  </si>
  <si>
    <t>sk</t>
  </si>
  <si>
    <t>fwar</t>
  </si>
  <si>
    <t>ll</t>
  </si>
  <si>
    <t>road</t>
  </si>
  <si>
    <t>recognize high</t>
  </si>
  <si>
    <t>formula high</t>
  </si>
  <si>
    <t>recognize low</t>
  </si>
  <si>
    <t>formula low</t>
  </si>
  <si>
    <t>hv calc</t>
  </si>
  <si>
    <t>lv calc</t>
  </si>
  <si>
    <t xml:space="preserve">.02 PER $1000 </t>
  </si>
  <si>
    <t xml:space="preserve">Underlying Deductible </t>
  </si>
  <si>
    <t>POLICY PREMIUM</t>
  </si>
  <si>
    <r>
      <t xml:space="preserve">NOTE - DEDUCTIBLE BUY-DOWN NOT APPLICABLE TO MACHINES BELOW IN </t>
    </r>
    <r>
      <rPr>
        <b/>
        <sz val="10"/>
        <color indexed="10"/>
        <rFont val="Arial"/>
        <family val="2"/>
      </rPr>
      <t>RED</t>
    </r>
    <r>
      <rPr>
        <sz val="10"/>
        <rFont val="Arial"/>
        <family val="2"/>
      </rPr>
      <t xml:space="preserve"> FONT</t>
    </r>
  </si>
  <si>
    <t>GRINDERS</t>
  </si>
  <si>
    <t>Note-</t>
  </si>
  <si>
    <t>gr</t>
  </si>
  <si>
    <t>*</t>
  </si>
  <si>
    <t>Insp.</t>
  </si>
  <si>
    <t>MACHINE CATEGORIES</t>
  </si>
  <si>
    <t>COMPLEX HARVESTING</t>
  </si>
  <si>
    <t>SIMPLE HARVESTING</t>
  </si>
  <si>
    <t>OTHER CONSTRUCTION</t>
  </si>
  <si>
    <t>CHIPPERS</t>
  </si>
  <si>
    <t>OFF-ROAD VEHICLES (ATV/SNOW)</t>
  </si>
  <si>
    <t>Rate</t>
  </si>
  <si>
    <t>PORTABLE SAWMILLS</t>
  </si>
  <si>
    <t>Base</t>
  </si>
  <si>
    <t>RATING ENGINE:</t>
  </si>
  <si>
    <t>Chipper</t>
  </si>
  <si>
    <t>Feller-buncher</t>
  </si>
  <si>
    <t>Fellerbuncher</t>
  </si>
  <si>
    <t>Delimber</t>
  </si>
  <si>
    <t>Harvester</t>
  </si>
  <si>
    <t>Processor</t>
  </si>
  <si>
    <t>Multi</t>
  </si>
  <si>
    <t>Grinder</t>
  </si>
  <si>
    <t>Debarker</t>
  </si>
  <si>
    <t>Mulcher</t>
  </si>
  <si>
    <t>Tub Grinder</t>
  </si>
  <si>
    <t>Drum Grinder</t>
  </si>
  <si>
    <t>Skidder</t>
  </si>
  <si>
    <t>Carrier</t>
  </si>
  <si>
    <t>Cable Skidder</t>
  </si>
  <si>
    <t>Grapple</t>
  </si>
  <si>
    <t>Grapple Skidder</t>
  </si>
  <si>
    <t>Forwarder</t>
  </si>
  <si>
    <t>Log Loader</t>
  </si>
  <si>
    <t>Slasher</t>
  </si>
  <si>
    <t>De-limber</t>
  </si>
  <si>
    <t>Sawmill</t>
  </si>
  <si>
    <t>Saw-mill</t>
  </si>
  <si>
    <t>Portable Sawmill</t>
  </si>
  <si>
    <t>ATV</t>
  </si>
  <si>
    <t>4-trax</t>
  </si>
  <si>
    <t>Snowmobile</t>
  </si>
  <si>
    <t>Gator</t>
  </si>
  <si>
    <t>Quad</t>
  </si>
  <si>
    <t>Four-trax</t>
  </si>
  <si>
    <t>Argo</t>
  </si>
  <si>
    <t>Loader</t>
  </si>
  <si>
    <t>Backhoe</t>
  </si>
  <si>
    <t>Excavator</t>
  </si>
  <si>
    <t>Dragline</t>
  </si>
  <si>
    <t>Grader</t>
  </si>
  <si>
    <t>Tractor</t>
  </si>
  <si>
    <t>Dozer</t>
  </si>
  <si>
    <t>Bulldozer</t>
  </si>
  <si>
    <t>Bobcat</t>
  </si>
  <si>
    <t>Rock Truck</t>
  </si>
  <si>
    <t>Base Rate</t>
  </si>
  <si>
    <t>Transporter</t>
  </si>
  <si>
    <t>FINAL RATE</t>
  </si>
  <si>
    <t>Back-hoe</t>
  </si>
  <si>
    <t>Buncher</t>
  </si>
  <si>
    <t>Value</t>
  </si>
  <si>
    <t>FINAL DEDUCTIBLE</t>
  </si>
  <si>
    <t>Ded if High Risk</t>
  </si>
  <si>
    <t>Ded if Grinder</t>
  </si>
  <si>
    <t>Ded if low risk</t>
  </si>
  <si>
    <t>$29999 or less</t>
  </si>
  <si>
    <t>$30,000 to $49999</t>
  </si>
  <si>
    <t>$50,000 to $199,999</t>
  </si>
  <si>
    <t>$200,000 up</t>
  </si>
  <si>
    <t>$199,999 or less</t>
  </si>
  <si>
    <t>$200,000 or more</t>
  </si>
  <si>
    <t>5%, min 1500 max 10000</t>
  </si>
  <si>
    <t>Select for High Risk</t>
  </si>
  <si>
    <t>Select for Grinder</t>
  </si>
  <si>
    <t>Select for low risk</t>
  </si>
  <si>
    <t>DELETION OF ICE AND KEG</t>
  </si>
  <si>
    <t>MinRate</t>
  </si>
  <si>
    <t>Max:</t>
  </si>
  <si>
    <t xml:space="preserve"> FLEET CREDIT,   subject to Max:</t>
  </si>
  <si>
    <t xml:space="preserve"> Déchiqueteuse</t>
  </si>
  <si>
    <t>Dechiqueteuse</t>
  </si>
  <si>
    <t>Déchiqueteuse</t>
  </si>
  <si>
    <t>Abatteuse</t>
  </si>
  <si>
    <t>abbateuse</t>
  </si>
  <si>
    <t>Batteuse</t>
  </si>
  <si>
    <t>,</t>
  </si>
  <si>
    <t>broyeur</t>
  </si>
  <si>
    <t>Debusqueuse</t>
  </si>
  <si>
    <t>Débusqueuse</t>
  </si>
  <si>
    <t>Garette</t>
  </si>
  <si>
    <t>Transporteur</t>
  </si>
  <si>
    <t>porteur</t>
  </si>
  <si>
    <t>Chargeuse</t>
  </si>
  <si>
    <t>chargeur</t>
  </si>
  <si>
    <t>Tronconneuse</t>
  </si>
  <si>
    <t>Tronçonneuse</t>
  </si>
  <si>
    <t>Écorcheuse</t>
  </si>
  <si>
    <t>ecorcheuse</t>
  </si>
  <si>
    <t>Niveleuse</t>
  </si>
  <si>
    <t>Pelle</t>
  </si>
  <si>
    <t>Retrocaveuse</t>
  </si>
  <si>
    <t>Retro caveuse</t>
  </si>
  <si>
    <t>Mini Tracteur</t>
  </si>
  <si>
    <t>Tracteur</t>
  </si>
  <si>
    <t>Ecorcheuse</t>
  </si>
  <si>
    <t>DISCRETIONARY ( + )</t>
  </si>
  <si>
    <t>AGREED VALUE</t>
  </si>
  <si>
    <t>REPLACEMENT COST</t>
  </si>
  <si>
    <t xml:space="preserve"> EXTINGUISHERS / AFS</t>
  </si>
  <si>
    <t>Information su proposant :</t>
  </si>
  <si>
    <t>Nom de l'assuré</t>
  </si>
  <si>
    <t>Contact</t>
  </si>
  <si>
    <t>Téléphone</t>
  </si>
  <si>
    <t>Céllulaire</t>
  </si>
  <si>
    <t>Courriel</t>
  </si>
  <si>
    <t xml:space="preserve">Noms des actionnaires  </t>
  </si>
  <si>
    <t>Date de la perte</t>
  </si>
  <si>
    <t>Ouvert ou fermé</t>
  </si>
  <si>
    <t>Payés ou réservés $</t>
  </si>
  <si>
    <t>Décrivez en détail</t>
  </si>
  <si>
    <t>Historique et aspect financier</t>
  </si>
  <si>
    <t>Assureur actuel</t>
  </si>
  <si>
    <t>Votre assurance équipement a-t-elle déja été annulé?</t>
  </si>
  <si>
    <t>Une assurance vous a-t-elle été refusé?</t>
  </si>
  <si>
    <t>Faillite dans les 5 dernires années?</t>
  </si>
  <si>
    <t>OPÉRATIONS</t>
  </si>
  <si>
    <t>Lieu de travail</t>
  </si>
  <si>
    <t>Modifications apportées aux équipments ?                    Si oui par qui?</t>
  </si>
  <si>
    <t>Les équipements sont ils laissé sans surveillance avec le moteur en marche?</t>
  </si>
  <si>
    <t xml:space="preserve">Opérateurs </t>
  </si>
  <si>
    <t>Nom</t>
  </si>
  <si>
    <t>Formation</t>
  </si>
  <si>
    <t>Expérience</t>
  </si>
  <si>
    <t>Age</t>
  </si>
  <si>
    <t xml:space="preserve">Responsabilité </t>
  </si>
  <si>
    <t xml:space="preserve">( section obligatoire si protection requise) </t>
  </si>
  <si>
    <t>Oui</t>
  </si>
  <si>
    <t>Non</t>
  </si>
  <si>
    <t>Avez-vous d'autres entités légales?</t>
  </si>
  <si>
    <t>Un assureur a-t-il déjà refusé une assurance responsabilité?</t>
  </si>
  <si>
    <t>Régime de CSST en place?</t>
  </si>
  <si>
    <t>Masse salariale ?</t>
  </si>
  <si>
    <r>
      <t>SIGNATURES</t>
    </r>
    <r>
      <rPr>
        <b/>
        <sz val="16"/>
        <color indexed="60"/>
        <rFont val="Arial"/>
        <family val="2"/>
      </rPr>
      <t xml:space="preserve">  </t>
    </r>
  </si>
  <si>
    <t>Assuré:</t>
  </si>
  <si>
    <t xml:space="preserve">La protection a-t-elle déjà été refusé par un autre assureur ? </t>
  </si>
  <si>
    <t>Courtier:</t>
  </si>
  <si>
    <t>OUI</t>
  </si>
  <si>
    <t>NON</t>
  </si>
  <si>
    <t>Recommandez vous ce risque ?</t>
  </si>
  <si>
    <t>Connaissez vous personnellement le proposant ?</t>
  </si>
  <si>
    <t>Est-ce un renouvellement pour votre firme ?</t>
  </si>
  <si>
    <t>Frais de lutte contre les incendies - $250,000</t>
  </si>
  <si>
    <t>Frais de lutte contre les incendies - $1,000,000</t>
  </si>
  <si>
    <t>Frais de lutte contre les incendies - $2,000,000</t>
  </si>
  <si>
    <r>
      <t xml:space="preserve">Frais de lutte contre les incendies - </t>
    </r>
    <r>
      <rPr>
        <b/>
        <sz val="12"/>
        <rFont val="Arial"/>
        <family val="2"/>
      </rPr>
      <t>$500,000  (Standard)</t>
    </r>
  </si>
  <si>
    <t>Responsabilité</t>
  </si>
  <si>
    <t>Remorque 1</t>
  </si>
  <si>
    <t>Remorque 2</t>
  </si>
  <si>
    <t>Remorque 3</t>
  </si>
  <si>
    <t>Garage ou atelier de réparation</t>
  </si>
  <si>
    <t>Contenu</t>
  </si>
  <si>
    <t xml:space="preserve">Bois abattus  </t>
  </si>
  <si>
    <t>Donner tous les détails concernant la protection, la construction de bâtiments et leur contenu</t>
  </si>
  <si>
    <t>(Ne pas ajouter après Avril 1)</t>
  </si>
  <si>
    <t>Créancier :</t>
  </si>
  <si>
    <t># Item</t>
  </si>
  <si>
    <t>Nom et adresse complète</t>
  </si>
  <si>
    <t>Montant</t>
  </si>
  <si>
    <t>Année</t>
  </si>
  <si>
    <t>Fabricant</t>
  </si>
  <si>
    <t>Type</t>
  </si>
  <si>
    <t>Limite</t>
  </si>
  <si>
    <t>Enlisement  requis ?</t>
  </si>
  <si>
    <t>Valeur agrée?</t>
  </si>
  <si>
    <t xml:space="preserve">Extincteur Automatique? </t>
  </si>
  <si>
    <t>Opérateurs forestiers</t>
  </si>
  <si>
    <t>Adresse</t>
  </si>
  <si>
    <t>Ville, Prov, Code Postal</t>
  </si>
  <si>
    <t>Cédule de maintenance</t>
  </si>
  <si>
    <t>Date d'expiration</t>
  </si>
  <si>
    <t>Date Reclamation</t>
  </si>
  <si>
    <t>$ Montant de la réclamation</t>
  </si>
  <si>
    <t>Courtier</t>
  </si>
  <si>
    <t xml:space="preserve"> Date de la Demande</t>
  </si>
  <si>
    <t>Representant</t>
  </si>
  <si>
    <t xml:space="preserve">Chiffre d'affaires </t>
  </si>
  <si>
    <t>Les Options:</t>
  </si>
  <si>
    <t>O</t>
  </si>
  <si>
    <t>O = Oui   N = Non</t>
  </si>
  <si>
    <t>Assuré Désigné</t>
  </si>
  <si>
    <t>Addresse</t>
  </si>
  <si>
    <t>Police #</t>
  </si>
  <si>
    <t xml:space="preserve">$ Montant de la réclamation </t>
  </si>
  <si>
    <t>Liste D'equipmements</t>
  </si>
  <si>
    <t>Franchise</t>
  </si>
  <si>
    <t>PRIME</t>
  </si>
  <si>
    <t>TAUX</t>
  </si>
  <si>
    <t xml:space="preserve">TAUX MOYEN  </t>
  </si>
  <si>
    <t>Prime Equipement</t>
  </si>
  <si>
    <t>Protections Additionelles</t>
  </si>
  <si>
    <t xml:space="preserve"> (Ne pas ajouter après Avril 1)</t>
  </si>
  <si>
    <t>Prime et frais:</t>
  </si>
  <si>
    <t>Frais</t>
  </si>
  <si>
    <t>RÉCOLTE COMPLEXE</t>
  </si>
  <si>
    <t>RÉCOLTE SIMPLE</t>
  </si>
  <si>
    <t>Autres travaux de construction</t>
  </si>
  <si>
    <t>MOULINS</t>
  </si>
  <si>
    <t>DÉCHIQUETEURS</t>
  </si>
  <si>
    <t>VÉHICULES HORS ROUTE (ATV / SNOW)</t>
  </si>
  <si>
    <t>scieries mobiles</t>
  </si>
  <si>
    <t>Details et conditions du programme:</t>
  </si>
  <si>
    <t>Memo, Autres Prime SCN</t>
  </si>
  <si>
    <t xml:space="preserve">Protections Additionelles, TOTAL  </t>
  </si>
  <si>
    <t>Assurance de protection juridique</t>
  </si>
  <si>
    <t>MONTANT</t>
  </si>
  <si>
    <t xml:space="preserve">Date de Demande:  
</t>
  </si>
  <si>
    <t xml:space="preserve">Date de renouvellement:
</t>
  </si>
  <si>
    <t>Cotation expire:</t>
  </si>
  <si>
    <t>Assuré additionnel:</t>
  </si>
  <si>
    <t>FPQ-6</t>
  </si>
  <si>
    <t>Frais de lutte contre les incendies:</t>
  </si>
  <si>
    <t>Responsabilité locative</t>
  </si>
  <si>
    <t>Autre:</t>
  </si>
  <si>
    <t>PRIME ET FRAIS</t>
  </si>
  <si>
    <t>FRAIS</t>
  </si>
  <si>
    <t>X if Standalone</t>
  </si>
  <si>
    <t>LIMITE</t>
  </si>
  <si>
    <t>Chiffre d'affaires annuel</t>
  </si>
  <si>
    <t xml:space="preserve"> Comme par souscripteur</t>
  </si>
  <si>
    <t>DISCRETIONARY  (Max  -.10)</t>
  </si>
  <si>
    <t>Recouvrement de débris?</t>
  </si>
  <si>
    <t>Heures par jour</t>
  </si>
  <si>
    <t>Série</t>
  </si>
  <si>
    <t>Modèle</t>
  </si>
  <si>
    <t>Construction de route</t>
  </si>
  <si>
    <t>Numéro de police</t>
  </si>
  <si>
    <t>COASSURANCE 100%</t>
  </si>
  <si>
    <t xml:space="preserve">OPTION RÉCOUVREMENT DE DÉBRIS, LIMITE $10, 000 </t>
  </si>
  <si>
    <t>Date</t>
  </si>
  <si>
    <t>Date de la dernière réclamation</t>
  </si>
  <si>
    <t>Doit être rempli par l'assuré, scanné et retourné comme pièce jointe au souscripteur de SCN</t>
  </si>
  <si>
    <t>Cause détaillée de la perte</t>
  </si>
  <si>
    <t>Quelles mesures auraient pu être prises pour éviter cette perte?</t>
  </si>
  <si>
    <t>Quels changements ont été effectués dans l'opération pour éviter une perte similaire aux futures?</t>
  </si>
  <si>
    <t>Quelles autres mesures de prévention des pertes sont actuellement en place dans l'opération?</t>
  </si>
  <si>
    <t>Ce questionnaire doit être accompagnée des copies scannées des états financiers vérifiés (ou états financiers disponibles)</t>
  </si>
  <si>
    <t xml:space="preserve">SIGNATURES  </t>
  </si>
  <si>
    <t>A-il d'autre information où matériel important de votre connaissance qui doit être déclarée concernant la (les) réclamation(s)?</t>
  </si>
  <si>
    <t>Je certifie par la présente que les informations contenues dans ce questionnaire sont exactes au meilleur de ma connaissance. Je comprends que l'information sera utilisée par l'assureur / assureur à évaluer le risque, et que toute fausse déclaration ou la non-divulgation d'un fait matériel peut annuler la couverture d'assurance.</t>
  </si>
  <si>
    <t>LIMITE CATASTROPHIQUE 1.500.000$</t>
  </si>
  <si>
    <t>DOUBLE SHIFTED</t>
  </si>
  <si>
    <r>
      <t xml:space="preserve">$Montant </t>
    </r>
    <r>
      <rPr>
        <sz val="8"/>
        <rFont val="Arial"/>
        <family val="2"/>
      </rPr>
      <t>de la réclamation</t>
    </r>
  </si>
  <si>
    <t>x</t>
  </si>
  <si>
    <t>(5 ans)</t>
  </si>
  <si>
    <t>Liste de toutes les pertes rapportées ou non à l'assureur dans les 5 dernières années</t>
  </si>
  <si>
    <t xml:space="preserve">  Bois abattu</t>
  </si>
  <si>
    <t xml:space="preserve">Prendre note que si la protection est accordé et la police émise, les équipments seront sujet a une clause de 100% de co-assurance, un minimum de deux extincteurs portatifs de 10 lbs dans chaque équipement et aucun opérateur de moins de 21 ans et/ou moins 2 ans d'expérience  en opération d'équipement forestier sans l’approbation de l’assureur.  </t>
  </si>
  <si>
    <t>Annéee d'expérience</t>
  </si>
  <si>
    <t>Nombre d'années en affaire</t>
  </si>
  <si>
    <t>Historique de perte (**Information Obligatoire **)</t>
  </si>
  <si>
    <t>Des protections ont-elles été refusé?</t>
  </si>
  <si>
    <t>Une réclamation vous a-t-elle déjà été refusé?</t>
  </si>
  <si>
    <t>Permettez vous à d'autres personnes que des employés qualifiés d'opérer vos équipements ?</t>
  </si>
  <si>
    <t>Nombre d'heures travaillées par jour par équipement</t>
  </si>
  <si>
    <t>Fréquence de l'entretien</t>
  </si>
  <si>
    <t>Les batteries sont elles mises hors tension lors de l'arrêt des équipements ?</t>
  </si>
  <si>
    <t xml:space="preserve">Les équipements sont ils nettoyés  après chaque quart de travail? De quelle facon? </t>
  </si>
  <si>
    <t>Est-ce que tous les compartiments sont nettoyés et inspectés ?</t>
  </si>
  <si>
    <t>Les opérateurs ayant moins de 2 ans d'expérience doivent être appouvés par l'assureur</t>
  </si>
  <si>
    <t>Brûlage d'abbatis?</t>
  </si>
  <si>
    <t>Brûlage d'abatis est exclu de la couverture, sauf sur demande expresse, sous réserve de remplir le questionnaire supplémentaire, l'approbation du souscripteur et de la surprime applicable.</t>
  </si>
  <si>
    <t>Louez vous des équipements?</t>
  </si>
  <si>
    <t>Avez-vous des opérations à l'extérieur du Canada?</t>
  </si>
  <si>
    <t xml:space="preserve">Avez-vous des réservoirs d'essence ou diesel? </t>
  </si>
  <si>
    <t>Utilisez vous des sous-traitants?</t>
  </si>
  <si>
    <t xml:space="preserve">Si oui type d'ouvrage, coût annuel? Ententes signés?  </t>
  </si>
  <si>
    <t>L'assuré en fait-il partie?</t>
  </si>
  <si>
    <t>Si non, dans quel province et masse salariale</t>
  </si>
  <si>
    <t xml:space="preserve">Travaux aux États-Unis passé ou à venir </t>
  </si>
  <si>
    <t xml:space="preserve">Nombre d’employés ? </t>
  </si>
  <si>
    <t>Indiquez toutes reclamations en responsabilité civile dans la section ci-dessus</t>
  </si>
  <si>
    <t>Y a t’il d’autres fait à votre connaissances qui pourraient  influencer l’assureur ?</t>
  </si>
  <si>
    <t>Si le proposant falsifie la description des biens de façon à causer  préjudice à l'assureur et/ou fait de fausses représentationset/ ou omet de communiquer des circonstances ou des faits qui pourraient influencer l'acceptation du risque par l'assureur, le contrat est nul et sans effet en relation avec les biens touchant ces omisions ou fausses représentations.</t>
  </si>
  <si>
    <t>Avez-vous expliquer les termes et conditions et limitations à l’assuré ?</t>
  </si>
  <si>
    <t>Avez vous perçu les informations directement de l’assuré ?</t>
  </si>
  <si>
    <t>Avez-vous d’autres assurances pour le proposant ?</t>
  </si>
  <si>
    <r>
      <t>Depuis combien de temps assurez-vous ce client ?</t>
    </r>
    <r>
      <rPr>
        <b/>
        <sz val="10"/>
        <color indexed="8"/>
        <rFont val="Times New Roman"/>
        <family val="1"/>
      </rPr>
      <t> </t>
    </r>
  </si>
  <si>
    <t xml:space="preserve">Ni la signature de l’assuré ou de l’assureurs ne constitue un engagement à émettre un contrat d’assurance. Si la proposition est accepté par les 2 parties , la proposition fera parti intégrante du contrat à être émis, l’assuré devra aviser l’assureur sans délai de toute modification à cette dernière . </t>
  </si>
  <si>
    <t>Ébrancheuse</t>
  </si>
  <si>
    <t>Ebrancheuse</t>
  </si>
  <si>
    <t>Choisir</t>
  </si>
  <si>
    <t>O/N</t>
  </si>
  <si>
    <t xml:space="preserve">TRANSPORTEUR  </t>
  </si>
  <si>
    <t>Outils</t>
  </si>
  <si>
    <t>Pieces de rechanges</t>
  </si>
  <si>
    <t xml:space="preserve">Outils </t>
  </si>
  <si>
    <t>rr</t>
  </si>
  <si>
    <t>Frais de location           (MAX 20 000$)</t>
  </si>
  <si>
    <t>La liste des articles de haute valeur (+ 1000$), les générateurs, les soudeurs, nettoyeurs haute pression etc. Doit être noté ici.</t>
  </si>
  <si>
    <t>multifonctionelle</t>
  </si>
  <si>
    <t>Récupération de debris</t>
  </si>
  <si>
    <t>Biens en transport</t>
  </si>
  <si>
    <t>Franchise 5% min 1000$ ACV</t>
  </si>
  <si>
    <t>FORMULE ÉTENDUE, VALEUR AU JOUR DU SINISTRE</t>
  </si>
  <si>
    <t>Pièces de rechanges</t>
  </si>
  <si>
    <t>SI NOUS COUVRONS PIÈCES ET OUTILS, VOL SUJET A LA CLAUSE DE VERROUILLAGE</t>
  </si>
  <si>
    <t>DE VERROUILLAGE</t>
  </si>
  <si>
    <t>SUJET A L'AVENANT D'ENGAGEMENT FORMEL</t>
  </si>
  <si>
    <t xml:space="preserve">PRIX COMPÉTITIF AVEC CRÉDITS POUR LES OPÉRATIONS PROFESSIONNELLES </t>
  </si>
  <si>
    <t>CRÉDITS POUR LES ENTREPRISES SANS SINISTRE, PROTECTION D`INCENDIE ET PROGRAMME D'ENTRETIEN</t>
  </si>
  <si>
    <t>VALEUR À NEUF DISPONIBLE  POUR LES ÉQUIPEMENTS NEUFS</t>
  </si>
  <si>
    <t>RÈGLE PROPORTIONELLE À 100% OBLIGATOIRE</t>
  </si>
  <si>
    <t>POSSIBILITÉ D'INCLURE D'AUTRE BIENS LIÉES AUX OPÉRATIONS (BÂTIMENTS, OUTILS AINSI QUE LE BOIS ABATTUS)</t>
  </si>
  <si>
    <t>LES OPÉRATEURS AVEC MOINS DE 2 ANS D'EXPÉRIENCE DOIVENT ÊTRE APPROUVÉ PAR L'ASSUREUR</t>
  </si>
  <si>
    <t>TOUTES NOS SOUMISSIONS INCLUS L'ASSURANCE DES FRAIS JURIDIQUE POUR COUVRIR LES FRAIS LEGAUX</t>
  </si>
  <si>
    <t>SUJET À LA CLAUSE</t>
  </si>
  <si>
    <r>
      <rPr>
        <b/>
        <sz val="10"/>
        <color rgb="FFFFFF00"/>
        <rFont val="Arial"/>
        <family val="2"/>
      </rPr>
      <t>PRIME</t>
    </r>
    <r>
      <rPr>
        <b/>
        <sz val="10"/>
        <color indexed="9"/>
        <rFont val="Arial"/>
        <family val="2"/>
      </rPr>
      <t xml:space="preserve"> </t>
    </r>
    <r>
      <rPr>
        <b/>
        <sz val="8"/>
        <color indexed="9"/>
        <rFont val="Arial"/>
        <family val="2"/>
      </rPr>
      <t>(Incluant 10$ par machine pour récupération de débris)</t>
    </r>
  </si>
  <si>
    <t>Annexes supplémentaires</t>
  </si>
  <si>
    <t>Les opérateurs ayant moins de 2 ans d'expérience doivent être appouvé par l'assureur</t>
  </si>
  <si>
    <t>Année d'expérience</t>
  </si>
  <si>
    <r>
      <t xml:space="preserve">Pièces et outils -  Notez que tous les articles individuels de </t>
    </r>
    <r>
      <rPr>
        <b/>
        <sz val="11"/>
        <color rgb="FFFF0000"/>
        <rFont val="Calibri"/>
        <family val="2"/>
        <scheme val="minor"/>
      </rPr>
      <t xml:space="preserve">plus de 1000 $ ACV </t>
    </r>
    <r>
      <rPr>
        <sz val="11"/>
        <color rgb="FFFF0000"/>
        <rFont val="Calibri"/>
        <family val="2"/>
        <scheme val="minor"/>
      </rPr>
      <t>doivent être nommés.</t>
    </r>
  </si>
  <si>
    <t>OUTILS</t>
  </si>
  <si>
    <t>Item #</t>
  </si>
  <si>
    <t>Description d'item</t>
  </si>
  <si>
    <t>ACV</t>
  </si>
  <si>
    <t>Pièces</t>
  </si>
  <si>
    <r>
      <t xml:space="preserve">DEBRIS REMOVAL and RENTAL REIMB    </t>
    </r>
    <r>
      <rPr>
        <b/>
        <sz val="7"/>
        <color indexed="9"/>
        <rFont val="Arial"/>
        <family val="2"/>
      </rPr>
      <t>(where applicable)</t>
    </r>
  </si>
  <si>
    <t>Cotation Expire</t>
  </si>
  <si>
    <r>
      <rPr>
        <b/>
        <sz val="10"/>
        <rFont val="Arial"/>
        <family val="2"/>
      </rPr>
      <t xml:space="preserve">Valeur agrée    </t>
    </r>
    <r>
      <rPr>
        <sz val="10"/>
        <rFont val="Arial"/>
        <family val="2"/>
      </rPr>
      <t xml:space="preserve">
Si l'option de valeur agréée est sélectionné comme base de règlement, l'assuré doit fournir dans les 30 jours suivant la mise en force de la couverture d'une évaluation confirmant la valeur, par un évaluateur qualifié.
</t>
    </r>
    <r>
      <rPr>
        <b/>
        <sz val="10"/>
        <rFont val="Arial"/>
        <family val="2"/>
      </rPr>
      <t xml:space="preserve">Valeur de remplacement (Valeur à Neuve )  </t>
    </r>
    <r>
      <rPr>
        <sz val="10"/>
        <rFont val="Arial"/>
        <family val="2"/>
      </rPr>
      <t xml:space="preserve">
Si l’option valeur de remplacement est sélectionné , seulement les équipements de 2 ans et moins d’âge sont admissibles, la facture d’achat originale doit être jointe à l’application  
</t>
    </r>
    <r>
      <rPr>
        <b/>
        <sz val="10"/>
        <rFont val="Arial"/>
        <family val="2"/>
      </rPr>
      <t xml:space="preserve">Valeur au jour du sinsitre   ACV (Valeur Réelle)    </t>
    </r>
    <r>
      <rPr>
        <sz val="10"/>
        <rFont val="Arial"/>
        <family val="2"/>
      </rPr>
      <t xml:space="preserve">
Si l’option de reglement au jour du sinistre est sélectionné, l’évaluation de la valeur marchande sera au moment du reglement du sinistre .
 </t>
    </r>
  </si>
  <si>
    <t xml:space="preserve">Comprend Pollution subite et accidentelle LIMITE 1,000,000$ - FRANCHISE 2500$ </t>
  </si>
  <si>
    <t xml:space="preserve"> -.02 PER $1000 HIGHER DEDUCT.       MANUAL OVERRIDE</t>
  </si>
  <si>
    <t>NOTE -  Frais de Location pas sélectionnée, EXCLU</t>
  </si>
  <si>
    <t xml:space="preserve">NOTE -  Frais de Location limite : </t>
  </si>
  <si>
    <t>LA GARANTIE DES FRAIS DE LOCATION SE LIMITE PAR SINISTRE À 20,000$, ET POUR UNE PÉRIODE MAXIMALE DE 10 SEMAINES, SOUS RESERVE D’UN MAXIMUM ÉGAL À 25% DU MONTANT TOTAL DES INDEMNITÉS VERSÉES PAR L’ASSUREUR.</t>
  </si>
  <si>
    <t>Frais Médicaux</t>
  </si>
  <si>
    <t>Enlisement  inclus</t>
  </si>
  <si>
    <t>FRANCHISE</t>
  </si>
  <si>
    <t xml:space="preserve"> 1000$</t>
  </si>
  <si>
    <t>Si oui, années, capacités, type, hors terre ou souterraine, # série</t>
  </si>
  <si>
    <t>Registre d'entretien écrit disponible?</t>
  </si>
  <si>
    <t>Avez-vous d'autres activités que la foresterie?                                                     ( i.e. constructions de routes, excavations, autre)</t>
  </si>
  <si>
    <t>(3 years max)</t>
  </si>
  <si>
    <t>Effective Date</t>
  </si>
  <si>
    <t xml:space="preserve">Amount </t>
  </si>
  <si>
    <t>Other Coverages</t>
  </si>
  <si>
    <t>Broadform unless otherwise indicate by NBS Underwriter</t>
  </si>
  <si>
    <t>MISCELLANEOUS ARTICLES</t>
  </si>
  <si>
    <t>Trailer 1</t>
  </si>
  <si>
    <t>$1000 Deductible, ACV</t>
  </si>
  <si>
    <t>Trailer 2</t>
  </si>
  <si>
    <t>Trailer 3</t>
  </si>
  <si>
    <t>Tools</t>
  </si>
  <si>
    <t>Spare Parts</t>
  </si>
  <si>
    <t>Felled and Bucked Timber</t>
  </si>
  <si>
    <t>(Do not add after April 1)</t>
  </si>
  <si>
    <t>Garage or Repair Shop</t>
  </si>
  <si>
    <t>Refer to detail from underwriter</t>
  </si>
  <si>
    <t>Contents</t>
  </si>
  <si>
    <t>Legal Assist</t>
  </si>
  <si>
    <t>Memo, Other NBS Premium</t>
  </si>
  <si>
    <t xml:space="preserve">OTHER COVERAGES, TOTAL  </t>
  </si>
  <si>
    <t>Premium and Fee:</t>
  </si>
  <si>
    <t>TOTAL POLICY PREMIUM</t>
  </si>
  <si>
    <t>Plus applicable taxes</t>
  </si>
  <si>
    <t>Program Features and Conditions:</t>
  </si>
  <si>
    <t>COMPETITIVE PRICING WITH REWARDS FOR PROFESSIONAL OPERATIONS</t>
  </si>
  <si>
    <t xml:space="preserve">EQUIPMENT SCHEDULE RATING INCLUDES CREDITS FOR CLAIMS-FREE, FIRE PROTECTION, AND MAINTENANCE SCHEDULE </t>
  </si>
  <si>
    <t>BROADFORM COVERAGE, ACV VALUATION</t>
  </si>
  <si>
    <t>OPTIONAL REPLACEMENT COST AVAILABLE FOR NEW MACHINES</t>
  </si>
  <si>
    <t>$20,000 RENTAL REIMBURSEMENT INCLUDED</t>
  </si>
  <si>
    <t>100% COINSURANCE REQUIREMENT</t>
  </si>
  <si>
    <t>PROPERTY AND LIABILITY ON ONE EASY APPLICATION FORM</t>
  </si>
  <si>
    <t>OPTION TO INSURE MISC PROPERTY RELATED TO OPERATIONS, INLCUDING FELLED AND BUCKED TIMBER</t>
  </si>
  <si>
    <t>TOOLS SUBJECT TO LOCKED VEHICLE WARRANTY</t>
  </si>
  <si>
    <t>OPERATORS WITH UNDER 2 YEARS EXPERIENCE MUST BE APPROVED BY THE UNDERWRITER</t>
  </si>
  <si>
    <t>ALL NBS PRODUCTS FEATURE LEGAL ASSIST COVERAGE TO PROTECT YOU AGAINST RISING LEGAL COSTS</t>
  </si>
  <si>
    <t>OPTIONAL SALVAGE RECOVERY, $10,000 LIMIT</t>
  </si>
  <si>
    <t>.02 PER $1000 HIGHER DEDUCT.</t>
  </si>
  <si>
    <t>DISCRETIONARY  (Max-.20)</t>
  </si>
  <si>
    <t>OVER 3000 HOURS ANNUALLY</t>
  </si>
  <si>
    <t>DEBRIS REMOVAL</t>
  </si>
  <si>
    <r>
      <t xml:space="preserve">PRIME </t>
    </r>
    <r>
      <rPr>
        <b/>
        <sz val="8"/>
        <color theme="0"/>
        <rFont val="Arial"/>
        <family val="2"/>
      </rPr>
      <t xml:space="preserve"> </t>
    </r>
  </si>
  <si>
    <t>En regard avec cette demande d’assurance à TIG, je comprend que des renseignements personnels ont été échangé dans le présent ou le futur, J’autorise TIG à vérifier mon historique de crédit et/ou de réclamation lié à la présente demande.</t>
  </si>
  <si>
    <t>Valeur à Neuf ?</t>
  </si>
  <si>
    <t>Combo</t>
  </si>
  <si>
    <t>La liste des articles de haute valeur (+ 1000$), les générateurs, les soudeurs, nettoyeurs haute pression etc.</t>
  </si>
  <si>
    <t>LISTE DES ARTICLES DE HAUTE VALEUR - LES OUTILS, LES GENERATEURS, LES SOUDEURS, NETTOYEURS HAUTE PRESSION, ETC.</t>
  </si>
  <si>
    <t>Rayon d’opération ?    Qui est responsable du chargement et du déchargement?</t>
  </si>
  <si>
    <t>Est-ce qu’il y a un exposé maritime d’envisageable (transport d’équipement par exemple)?</t>
  </si>
  <si>
    <t>Pour toutes les activités autres que la coupe de bois; fournir les informations, les qualifications de l'opérateur incluant permis et la répartition des revenus.</t>
  </si>
  <si>
    <t xml:space="preserve"> Est-ce que les opérateurs effectuent une vérification d’entretien de base au début et à la fin de chacun de leur quart de travail?</t>
  </si>
  <si>
    <t xml:space="preserve"> Est-ce que le proposant, ou un propriétaire de l’entreprise a déjà fait l’objet de poursuites ou de condamnation selon le code criminel? Si oui, nous fournir une copie du plumitif à jour avec des explications.</t>
  </si>
  <si>
    <t>Aucune</t>
  </si>
  <si>
    <t xml:space="preserve"> Sans exception:</t>
  </si>
  <si>
    <t>Transport (pour l’assuré seulement (bois)) ?</t>
  </si>
  <si>
    <t>on</t>
  </si>
  <si>
    <t>NOTE -  Frais de location non sélectionnés donc, EXCLUS</t>
  </si>
  <si>
    <t>Prime totale, les biens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</si>
</sst>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quot;$&quot;#,##0"/>
    <numFmt numFmtId="165" formatCode="&quot;$&quot;#,##0.00"/>
    <numFmt numFmtId="166" formatCode="mm/dd/yy;@"/>
    <numFmt numFmtId="167" formatCode="_(&quot;$&quot;* #,##0_);_(&quot;$&quot;* \(#,##0\);_(&quot;$&quot;* &quot;-&quot;??_);_(@_)"/>
    <numFmt numFmtId="168" formatCode="[$-409]d\-mmm\-yy;@"/>
    <numFmt numFmtId="169" formatCode="[$-409]d\-mmm;@"/>
    <numFmt numFmtId="170" formatCode="[$-C0C]d\ mmmm\,\ yyyy;@"/>
    <numFmt numFmtId="171" formatCode="#,##0\ [$$-C0C]"/>
    <numFmt numFmtId="172" formatCode="#,##0.00\ [$$-C0C]"/>
    <numFmt numFmtId="173" formatCode="#,##0.00\ [$$-C0C]_);\(#,##0.00\ [$$-C0C]\)"/>
    <numFmt numFmtId="174" formatCode="[$-409]mmmm\ d\,\ yyyy;@"/>
    <numFmt numFmtId="175" formatCode="0.0000"/>
    <numFmt numFmtId="176" formatCode="0.000"/>
  </numFmts>
  <fonts count="180">
    <font>
      <sz val="10"/>
      <name val="Arial"/>
    </font>
    <font>
      <sz val="10"/>
      <name val="Arial"/>
      <family val="2"/>
    </font>
    <font>
      <b/>
      <sz val="12"/>
      <name val="Arial"/>
      <family val="2"/>
    </font>
    <font>
      <b/>
      <sz val="10"/>
      <color indexed="8"/>
      <name val="Arial"/>
      <family val="2"/>
    </font>
    <font>
      <sz val="10"/>
      <color indexed="8"/>
      <name val="Arial"/>
      <family val="2"/>
    </font>
    <font>
      <sz val="10"/>
      <name val="Arial"/>
      <family val="2"/>
    </font>
    <font>
      <b/>
      <sz val="10"/>
      <color indexed="23"/>
      <name val="Arial"/>
      <family val="2"/>
    </font>
    <font>
      <sz val="10"/>
      <color indexed="23"/>
      <name val="Arial"/>
      <family val="2"/>
    </font>
    <font>
      <b/>
      <sz val="9"/>
      <color indexed="10"/>
      <name val="Arial"/>
      <family val="2"/>
    </font>
    <font>
      <b/>
      <sz val="10"/>
      <color indexed="10"/>
      <name val="Arial"/>
      <family val="2"/>
    </font>
    <font>
      <sz val="10"/>
      <color indexed="10"/>
      <name val="Arial"/>
      <family val="2"/>
    </font>
    <font>
      <b/>
      <sz val="12"/>
      <color indexed="10"/>
      <name val="Arial"/>
      <family val="2"/>
    </font>
    <font>
      <sz val="10"/>
      <color indexed="42"/>
      <name val="Arial"/>
      <family val="2"/>
    </font>
    <font>
      <b/>
      <sz val="10"/>
      <name val="Arial"/>
      <family val="2"/>
    </font>
    <font>
      <b/>
      <sz val="10"/>
      <color indexed="9"/>
      <name val="Arial"/>
      <family val="2"/>
    </font>
    <font>
      <b/>
      <sz val="8"/>
      <color indexed="9"/>
      <name val="Arial"/>
      <family val="2"/>
    </font>
    <font>
      <sz val="11"/>
      <name val="Arial"/>
      <family val="2"/>
    </font>
    <font>
      <b/>
      <sz val="14"/>
      <name val="Arial"/>
      <family val="2"/>
    </font>
    <font>
      <b/>
      <sz val="8"/>
      <name val="Arial"/>
      <family val="2"/>
    </font>
    <font>
      <sz val="8"/>
      <name val="Arial"/>
      <family val="2"/>
    </font>
    <font>
      <i/>
      <sz val="10"/>
      <name val="Arial"/>
      <family val="2"/>
    </font>
    <font>
      <b/>
      <sz val="10"/>
      <color indexed="42"/>
      <name val="Arial"/>
      <family val="2"/>
    </font>
    <font>
      <b/>
      <sz val="12"/>
      <color indexed="42"/>
      <name val="Arial"/>
      <family val="2"/>
    </font>
    <font>
      <b/>
      <sz val="11"/>
      <name val="Arial"/>
      <family val="2"/>
    </font>
    <font>
      <b/>
      <sz val="12"/>
      <color indexed="9"/>
      <name val="Arial"/>
      <family val="2"/>
    </font>
    <font>
      <b/>
      <sz val="16"/>
      <color indexed="10"/>
      <name val="Arial"/>
      <family val="2"/>
    </font>
    <font>
      <sz val="10"/>
      <color indexed="41"/>
      <name val="Arial"/>
      <family val="2"/>
    </font>
    <font>
      <sz val="10"/>
      <color indexed="22"/>
      <name val="Arial"/>
      <family val="2"/>
    </font>
    <font>
      <sz val="10"/>
      <color indexed="42"/>
      <name val="Arial"/>
      <family val="2"/>
    </font>
    <font>
      <sz val="10"/>
      <color indexed="8"/>
      <name val="Arial"/>
      <family val="2"/>
    </font>
    <font>
      <b/>
      <sz val="8"/>
      <color indexed="42"/>
      <name val="Arial"/>
      <family val="2"/>
    </font>
    <font>
      <b/>
      <sz val="12"/>
      <color indexed="8"/>
      <name val="Arial"/>
      <family val="2"/>
    </font>
    <font>
      <b/>
      <sz val="12"/>
      <color indexed="23"/>
      <name val="Arial"/>
      <family val="2"/>
    </font>
    <font>
      <b/>
      <sz val="10"/>
      <color indexed="42"/>
      <name val="Arial"/>
      <family val="2"/>
    </font>
    <font>
      <sz val="9"/>
      <color indexed="8"/>
      <name val="Arial"/>
      <family val="2"/>
    </font>
    <font>
      <sz val="8"/>
      <color indexed="8"/>
      <name val="Arial"/>
      <family val="2"/>
    </font>
    <font>
      <sz val="8"/>
      <name val="Arial"/>
      <family val="2"/>
    </font>
    <font>
      <sz val="10"/>
      <color indexed="10"/>
      <name val="Arial"/>
      <family val="2"/>
    </font>
    <font>
      <b/>
      <sz val="18"/>
      <name val="Arial"/>
      <family val="2"/>
    </font>
    <font>
      <sz val="18"/>
      <color indexed="8"/>
      <name val="Arial"/>
      <family val="2"/>
    </font>
    <font>
      <b/>
      <sz val="24"/>
      <name val="Arial"/>
      <family val="2"/>
    </font>
    <font>
      <sz val="10"/>
      <color indexed="55"/>
      <name val="Arial"/>
      <family val="2"/>
    </font>
    <font>
      <b/>
      <sz val="12"/>
      <color indexed="55"/>
      <name val="Arial"/>
      <family val="2"/>
    </font>
    <font>
      <i/>
      <sz val="8"/>
      <color indexed="10"/>
      <name val="Arial"/>
      <family val="2"/>
    </font>
    <font>
      <sz val="8"/>
      <color indexed="42"/>
      <name val="Arial"/>
      <family val="2"/>
    </font>
    <font>
      <b/>
      <sz val="14"/>
      <color indexed="10"/>
      <name val="Arial"/>
      <family val="2"/>
    </font>
    <font>
      <sz val="9"/>
      <name val="Arial"/>
      <family val="2"/>
    </font>
    <font>
      <sz val="9"/>
      <name val="Arial"/>
      <family val="2"/>
    </font>
    <font>
      <b/>
      <sz val="16"/>
      <name val="Arial"/>
      <family val="2"/>
    </font>
    <font>
      <sz val="10"/>
      <name val="Times New Roman"/>
      <family val="1"/>
    </font>
    <font>
      <sz val="10"/>
      <color indexed="8"/>
      <name val="Times New Roman"/>
      <family val="1"/>
    </font>
    <font>
      <b/>
      <sz val="10"/>
      <color indexed="8"/>
      <name val="Times New Roman"/>
      <family val="1"/>
    </font>
    <font>
      <sz val="2"/>
      <color indexed="42"/>
      <name val="Arial"/>
      <family val="2"/>
    </font>
    <font>
      <sz val="1"/>
      <color indexed="42"/>
      <name val="Arial"/>
      <family val="2"/>
    </font>
    <font>
      <sz val="1"/>
      <color indexed="42"/>
      <name val="Arial"/>
      <family val="2"/>
    </font>
    <font>
      <b/>
      <sz val="20"/>
      <name val="Arial"/>
      <family val="2"/>
    </font>
    <font>
      <i/>
      <sz val="8"/>
      <color indexed="55"/>
      <name val="Arial"/>
      <family val="2"/>
    </font>
    <font>
      <b/>
      <sz val="10"/>
      <color indexed="63"/>
      <name val="Arial"/>
      <family val="2"/>
    </font>
    <font>
      <sz val="9"/>
      <color indexed="9"/>
      <name val="Arial"/>
      <family val="2"/>
    </font>
    <font>
      <b/>
      <sz val="9"/>
      <color indexed="9"/>
      <name val="Arial"/>
      <family val="2"/>
    </font>
    <font>
      <b/>
      <sz val="9"/>
      <name val="Arial"/>
      <family val="2"/>
    </font>
    <font>
      <b/>
      <sz val="10"/>
      <color indexed="16"/>
      <name val="Arial"/>
      <family val="2"/>
    </font>
    <font>
      <sz val="26"/>
      <name val="Arial Black"/>
      <family val="2"/>
    </font>
    <font>
      <sz val="10"/>
      <color indexed="18"/>
      <name val="Arial"/>
      <family val="2"/>
    </font>
    <font>
      <b/>
      <sz val="10"/>
      <color indexed="18"/>
      <name val="Arial"/>
      <family val="2"/>
    </font>
    <font>
      <b/>
      <sz val="12"/>
      <color indexed="18"/>
      <name val="Arial"/>
      <family val="2"/>
    </font>
    <font>
      <b/>
      <sz val="12"/>
      <color indexed="16"/>
      <name val="Arial"/>
      <family val="2"/>
    </font>
    <font>
      <sz val="26"/>
      <color indexed="18"/>
      <name val="Signature"/>
    </font>
    <font>
      <sz val="10"/>
      <color indexed="16"/>
      <name val="Arial"/>
      <family val="2"/>
    </font>
    <font>
      <sz val="8"/>
      <color indexed="16"/>
      <name val="Arial"/>
      <family val="2"/>
    </font>
    <font>
      <sz val="12"/>
      <color indexed="16"/>
      <name val="Arial"/>
      <family val="2"/>
    </font>
    <font>
      <sz val="8"/>
      <color indexed="18"/>
      <name val="Arial"/>
      <family val="2"/>
    </font>
    <font>
      <b/>
      <sz val="11"/>
      <color indexed="16"/>
      <name val="Arial"/>
      <family val="2"/>
    </font>
    <font>
      <sz val="14"/>
      <color indexed="16"/>
      <name val="Arial"/>
      <family val="2"/>
    </font>
    <font>
      <sz val="10"/>
      <color indexed="44"/>
      <name val="Arial"/>
      <family val="2"/>
    </font>
    <font>
      <sz val="26"/>
      <name val="Rockwell Extra Bold"/>
      <family val="1"/>
    </font>
    <font>
      <b/>
      <sz val="10"/>
      <color indexed="44"/>
      <name val="Arial"/>
      <family val="2"/>
    </font>
    <font>
      <b/>
      <sz val="11"/>
      <color indexed="8"/>
      <name val="Arial"/>
      <family val="2"/>
    </font>
    <font>
      <b/>
      <sz val="10"/>
      <color indexed="60"/>
      <name val="Arial"/>
      <family val="2"/>
    </font>
    <font>
      <sz val="10"/>
      <color indexed="13"/>
      <name val="Arial"/>
      <family val="2"/>
    </font>
    <font>
      <sz val="10"/>
      <color indexed="47"/>
      <name val="Arial"/>
      <family val="2"/>
    </font>
    <font>
      <b/>
      <sz val="10"/>
      <color indexed="47"/>
      <name val="Arial"/>
      <family val="2"/>
    </font>
    <font>
      <sz val="10"/>
      <color indexed="60"/>
      <name val="Arial"/>
      <family val="2"/>
    </font>
    <font>
      <sz val="10"/>
      <color indexed="8"/>
      <name val="Arial"/>
      <family val="2"/>
    </font>
    <font>
      <sz val="10"/>
      <color indexed="36"/>
      <name val="Arial"/>
      <family val="2"/>
    </font>
    <font>
      <b/>
      <sz val="10"/>
      <color indexed="36"/>
      <name val="Arial"/>
      <family val="2"/>
    </font>
    <font>
      <sz val="10"/>
      <color indexed="55"/>
      <name val="Arial"/>
      <family val="2"/>
    </font>
    <font>
      <b/>
      <sz val="10"/>
      <color indexed="55"/>
      <name val="Arial"/>
      <family val="2"/>
    </font>
    <font>
      <sz val="10"/>
      <color indexed="23"/>
      <name val="Arial"/>
      <family val="2"/>
    </font>
    <font>
      <sz val="10"/>
      <color indexed="45"/>
      <name val="Arial"/>
      <family val="2"/>
    </font>
    <font>
      <sz val="10"/>
      <color indexed="23"/>
      <name val="Arial"/>
      <family val="2"/>
    </font>
    <font>
      <sz val="1"/>
      <color indexed="47"/>
      <name val="Arial"/>
      <family val="2"/>
    </font>
    <font>
      <sz val="8"/>
      <color indexed="60"/>
      <name val="Arial"/>
      <family val="2"/>
    </font>
    <font>
      <b/>
      <sz val="8"/>
      <color indexed="10"/>
      <name val="Arial"/>
      <family val="2"/>
    </font>
    <font>
      <b/>
      <sz val="11"/>
      <color indexed="60"/>
      <name val="Arial"/>
      <family val="2"/>
    </font>
    <font>
      <sz val="11"/>
      <color indexed="8"/>
      <name val="Arial"/>
      <family val="2"/>
    </font>
    <font>
      <b/>
      <sz val="12"/>
      <color indexed="60"/>
      <name val="Arial"/>
      <family val="2"/>
    </font>
    <font>
      <sz val="9"/>
      <color indexed="23"/>
      <name val="Arial"/>
      <family val="2"/>
    </font>
    <font>
      <sz val="8"/>
      <name val="Arial"/>
      <family val="2"/>
    </font>
    <font>
      <sz val="7"/>
      <color indexed="8"/>
      <name val="Arial"/>
      <family val="2"/>
    </font>
    <font>
      <sz val="16"/>
      <name val="Arial"/>
      <family val="2"/>
    </font>
    <font>
      <b/>
      <sz val="22"/>
      <color indexed="18"/>
      <name val="Arial"/>
      <family val="2"/>
    </font>
    <font>
      <sz val="22"/>
      <color indexed="18"/>
      <name val="Arial"/>
      <family val="2"/>
    </font>
    <font>
      <b/>
      <sz val="26"/>
      <name val="Arial Black"/>
      <family val="2"/>
    </font>
    <font>
      <b/>
      <sz val="14"/>
      <color indexed="8"/>
      <name val="Arial"/>
      <family val="2"/>
    </font>
    <font>
      <b/>
      <sz val="16"/>
      <color indexed="60"/>
      <name val="Arial"/>
      <family val="2"/>
    </font>
    <font>
      <b/>
      <sz val="16"/>
      <color indexed="9"/>
      <name val="Arial"/>
      <family val="2"/>
    </font>
    <font>
      <sz val="20"/>
      <name val="Arial Black"/>
      <family val="2"/>
    </font>
    <font>
      <sz val="6"/>
      <color indexed="8"/>
      <name val="Arial"/>
      <family val="2"/>
    </font>
    <font>
      <sz val="12"/>
      <name val="Calibri"/>
      <family val="2"/>
    </font>
    <font>
      <b/>
      <sz val="10"/>
      <color theme="0"/>
      <name val="Arial"/>
      <family val="2"/>
    </font>
    <font>
      <sz val="10"/>
      <color theme="0"/>
      <name val="Arial"/>
      <family val="2"/>
    </font>
    <font>
      <sz val="10"/>
      <color theme="9" tint="0.79998168889431442"/>
      <name val="Arial"/>
      <family val="2"/>
    </font>
    <font>
      <b/>
      <sz val="10"/>
      <color theme="9" tint="0.79998168889431442"/>
      <name val="Arial"/>
      <family val="2"/>
    </font>
    <font>
      <sz val="10"/>
      <color theme="9" tint="0.59999389629810485"/>
      <name val="Arial"/>
      <family val="2"/>
    </font>
    <font>
      <b/>
      <sz val="10"/>
      <color theme="9" tint="0.59999389629810485"/>
      <name val="Arial"/>
      <family val="2"/>
    </font>
    <font>
      <i/>
      <sz val="8"/>
      <color theme="9" tint="0.59999389629810485"/>
      <name val="Arial"/>
      <family val="2"/>
    </font>
    <font>
      <sz val="8"/>
      <color theme="9" tint="0.59999389629810485"/>
      <name val="Arial"/>
      <family val="2"/>
    </font>
    <font>
      <sz val="10"/>
      <color theme="1" tint="0.499984740745262"/>
      <name val="Arial"/>
      <family val="2"/>
    </font>
    <font>
      <b/>
      <sz val="12"/>
      <color theme="1" tint="0.499984740745262"/>
      <name val="Arial"/>
      <family val="2"/>
    </font>
    <font>
      <b/>
      <sz val="14"/>
      <color theme="9" tint="0.59999389629810485"/>
      <name val="Arial"/>
      <family val="2"/>
    </font>
    <font>
      <b/>
      <sz val="8"/>
      <color theme="9" tint="0.59999389629810485"/>
      <name val="Arial"/>
      <family val="2"/>
    </font>
    <font>
      <b/>
      <sz val="12"/>
      <color theme="9" tint="0.59999389629810485"/>
      <name val="Arial"/>
      <family val="2"/>
    </font>
    <font>
      <sz val="12"/>
      <color theme="9" tint="0.59999389629810485"/>
      <name val="Arial"/>
      <family val="2"/>
    </font>
    <font>
      <sz val="10"/>
      <color theme="1"/>
      <name val="Arial"/>
      <family val="2"/>
    </font>
    <font>
      <b/>
      <sz val="14"/>
      <color theme="1"/>
      <name val="Arial"/>
      <family val="2"/>
    </font>
    <font>
      <b/>
      <sz val="10"/>
      <color theme="1"/>
      <name val="Arial"/>
      <family val="2"/>
    </font>
    <font>
      <sz val="2"/>
      <color theme="0"/>
      <name val="Arial"/>
      <family val="2"/>
    </font>
    <font>
      <sz val="10"/>
      <color rgb="FFFF0000"/>
      <name val="Arial"/>
      <family val="2"/>
    </font>
    <font>
      <sz val="10"/>
      <color theme="9" tint="0.39997558519241921"/>
      <name val="Arial"/>
      <family val="2"/>
    </font>
    <font>
      <i/>
      <sz val="8"/>
      <color theme="0"/>
      <name val="Arial"/>
      <family val="2"/>
    </font>
    <font>
      <i/>
      <sz val="8"/>
      <color rgb="FFFF0000"/>
      <name val="Arial"/>
      <family val="2"/>
    </font>
    <font>
      <b/>
      <sz val="8"/>
      <color theme="0"/>
      <name val="Arial"/>
      <family val="2"/>
    </font>
    <font>
      <b/>
      <sz val="10"/>
      <color rgb="FFFF0000"/>
      <name val="Arial"/>
      <family val="2"/>
    </font>
    <font>
      <sz val="8"/>
      <color theme="0"/>
      <name val="Arial"/>
      <family val="2"/>
    </font>
    <font>
      <b/>
      <sz val="10"/>
      <color theme="3"/>
      <name val="Arial"/>
      <family val="2"/>
    </font>
    <font>
      <b/>
      <sz val="9"/>
      <color rgb="FFC00000"/>
      <name val="Arial"/>
      <family val="2"/>
    </font>
    <font>
      <b/>
      <sz val="14"/>
      <color rgb="FFC00000"/>
      <name val="Arial"/>
      <family val="2"/>
    </font>
    <font>
      <b/>
      <sz val="12"/>
      <color rgb="FFC00000"/>
      <name val="Arial"/>
      <family val="2"/>
    </font>
    <font>
      <b/>
      <sz val="20"/>
      <color rgb="FFC00000"/>
      <name val="Arial"/>
      <family val="2"/>
    </font>
    <font>
      <b/>
      <sz val="10"/>
      <color theme="4"/>
      <name val="Arial"/>
      <family val="2"/>
    </font>
    <font>
      <sz val="10"/>
      <color theme="4"/>
      <name val="Arial"/>
      <family val="2"/>
    </font>
    <font>
      <sz val="10"/>
      <color theme="3" tint="0.79998168889431442"/>
      <name val="Arial"/>
      <family val="2"/>
    </font>
    <font>
      <b/>
      <sz val="12"/>
      <color theme="3" tint="0.79998168889431442"/>
      <name val="Arial"/>
      <family val="2"/>
    </font>
    <font>
      <sz val="8"/>
      <color theme="3" tint="0.79998168889431442"/>
      <name val="Arial"/>
      <family val="2"/>
    </font>
    <font>
      <sz val="12"/>
      <color theme="1"/>
      <name val="Arial"/>
      <family val="2"/>
    </font>
    <font>
      <b/>
      <sz val="12"/>
      <color theme="1"/>
      <name val="Arial"/>
      <family val="2"/>
    </font>
    <font>
      <b/>
      <sz val="12"/>
      <color rgb="FFFF0000"/>
      <name val="Arial"/>
      <family val="2"/>
    </font>
    <font>
      <sz val="10"/>
      <color theme="0" tint="-0.499984740745262"/>
      <name val="Arial"/>
      <family val="2"/>
    </font>
    <font>
      <b/>
      <sz val="10"/>
      <color theme="3" tint="0.79998168889431442"/>
      <name val="Arial"/>
      <family val="2"/>
    </font>
    <font>
      <b/>
      <sz val="16"/>
      <color rgb="FFFF0000"/>
      <name val="Arial"/>
      <family val="2"/>
    </font>
    <font>
      <b/>
      <sz val="8"/>
      <color rgb="FFFF0000"/>
      <name val="Arial"/>
      <family val="2"/>
    </font>
    <font>
      <sz val="8"/>
      <color rgb="FFFF0000"/>
      <name val="Arial"/>
      <family val="2"/>
    </font>
    <font>
      <sz val="12"/>
      <color rgb="FFFF0000"/>
      <name val="Arial"/>
      <family val="2"/>
    </font>
    <font>
      <b/>
      <sz val="11"/>
      <color rgb="FFFF0000"/>
      <name val="Arial"/>
      <family val="2"/>
    </font>
    <font>
      <sz val="10"/>
      <color theme="4" tint="0.59999389629810485"/>
      <name val="Arial"/>
      <family val="2"/>
    </font>
    <font>
      <b/>
      <sz val="18"/>
      <color rgb="FFC00000"/>
      <name val="Arial"/>
      <family val="2"/>
    </font>
    <font>
      <b/>
      <sz val="16"/>
      <color rgb="FFC00000"/>
      <name val="Arial"/>
      <family val="2"/>
    </font>
    <font>
      <sz val="9"/>
      <color theme="0" tint="-0.499984740745262"/>
      <name val="Arial"/>
      <family val="2"/>
    </font>
    <font>
      <sz val="10"/>
      <color rgb="FF222222"/>
      <name val="Arial"/>
      <family val="2"/>
    </font>
    <font>
      <sz val="12"/>
      <name val="Calibri"/>
      <family val="2"/>
      <scheme val="minor"/>
    </font>
    <font>
      <sz val="8"/>
      <color theme="0" tint="-0.34998626667073579"/>
      <name val="Arial"/>
      <family val="2"/>
    </font>
    <font>
      <sz val="10"/>
      <color rgb="FF333333"/>
      <name val="Arial"/>
      <family val="2"/>
    </font>
    <font>
      <sz val="8"/>
      <color theme="0" tint="-0.499984740745262"/>
      <name val="Arial"/>
      <family val="2"/>
    </font>
    <font>
      <sz val="9"/>
      <color theme="3" tint="0.79998168889431442"/>
      <name val="Arial"/>
      <family val="2"/>
    </font>
    <font>
      <sz val="8"/>
      <color theme="1"/>
      <name val="Arial"/>
      <family val="2"/>
    </font>
    <font>
      <sz val="7"/>
      <color theme="1"/>
      <name val="Arial"/>
      <family val="2"/>
    </font>
    <font>
      <b/>
      <sz val="11"/>
      <color indexed="9"/>
      <name val="Arial"/>
      <family val="2"/>
    </font>
    <font>
      <b/>
      <sz val="11"/>
      <color rgb="FFC00000"/>
      <name val="Arial"/>
      <family val="2"/>
    </font>
    <font>
      <b/>
      <sz val="11"/>
      <color rgb="FFFFFF00"/>
      <name val="Arial"/>
      <family val="2"/>
    </font>
    <font>
      <b/>
      <sz val="10"/>
      <color rgb="FFFFFF00"/>
      <name val="Arial"/>
      <family val="2"/>
    </font>
    <font>
      <b/>
      <sz val="11"/>
      <color theme="4" tint="0.39997558519241921"/>
      <name val="Arial"/>
      <family val="2"/>
    </font>
    <font>
      <sz val="6"/>
      <name val="Arial"/>
      <family val="2"/>
    </font>
    <font>
      <b/>
      <sz val="11"/>
      <color theme="0"/>
      <name val="Arial"/>
      <family val="2"/>
    </font>
    <font>
      <sz val="11"/>
      <color rgb="FFFF0000"/>
      <name val="Calibri"/>
      <family val="2"/>
      <scheme val="minor"/>
    </font>
    <font>
      <b/>
      <sz val="11"/>
      <color theme="1"/>
      <name val="Calibri"/>
      <family val="2"/>
      <scheme val="minor"/>
    </font>
    <font>
      <b/>
      <sz val="11"/>
      <color rgb="FFFF0000"/>
      <name val="Calibri"/>
      <family val="2"/>
      <scheme val="minor"/>
    </font>
    <font>
      <b/>
      <sz val="7"/>
      <color indexed="9"/>
      <name val="Arial"/>
      <family val="2"/>
    </font>
    <font>
      <sz val="10"/>
      <color indexed="8"/>
      <name val="Cambria"/>
      <family val="1"/>
      <scheme val="major"/>
    </font>
    <font>
      <b/>
      <sz val="8"/>
      <color theme="0" tint="-0.34998626667073579"/>
      <name val="Arial"/>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60"/>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79998168889431442"/>
        <bgColor indexed="64"/>
      </patternFill>
    </fill>
  </fills>
  <borders count="4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73" fontId="6" fillId="7" borderId="1" applyFont="0" applyBorder="0">
      <alignment horizontal="center" vertical="center" wrapText="1"/>
      <protection locked="0"/>
    </xf>
  </cellStyleXfs>
  <cellXfs count="1366">
    <xf numFmtId="0" fontId="0" fillId="0" borderId="0" xfId="0"/>
    <xf numFmtId="0" fontId="0" fillId="2" borderId="2" xfId="0" applyFill="1" applyBorder="1" applyProtection="1">
      <protection locked="0"/>
    </xf>
    <xf numFmtId="0" fontId="4" fillId="2" borderId="2" xfId="0" applyFont="1" applyFill="1" applyBorder="1" applyAlignment="1" applyProtection="1">
      <alignment horizontal="center"/>
      <protection locked="0"/>
    </xf>
    <xf numFmtId="164" fontId="4" fillId="2" borderId="2" xfId="0" applyNumberFormat="1" applyFont="1" applyFill="1" applyBorder="1" applyAlignment="1" applyProtection="1">
      <alignment horizontal="center"/>
      <protection locked="0"/>
    </xf>
    <xf numFmtId="164" fontId="35" fillId="2" borderId="2" xfId="0" applyNumberFormat="1" applyFont="1" applyFill="1" applyBorder="1" applyAlignment="1" applyProtection="1">
      <alignment horizontal="center"/>
      <protection locked="0"/>
    </xf>
    <xf numFmtId="0" fontId="13" fillId="2" borderId="2" xfId="0" applyFont="1" applyFill="1" applyBorder="1" applyAlignment="1" applyProtection="1">
      <alignment vertical="justify" wrapText="1"/>
      <protection locked="0"/>
    </xf>
    <xf numFmtId="0" fontId="0" fillId="3" borderId="0" xfId="0" applyFill="1" applyProtection="1"/>
    <xf numFmtId="0" fontId="13" fillId="3" borderId="0" xfId="0" applyFont="1" applyFill="1" applyAlignment="1" applyProtection="1">
      <alignment horizontal="right"/>
    </xf>
    <xf numFmtId="0" fontId="0" fillId="3" borderId="0" xfId="0" applyFill="1" applyAlignment="1" applyProtection="1">
      <alignment horizontal="right"/>
    </xf>
    <xf numFmtId="0" fontId="5" fillId="3" borderId="0" xfId="0" applyFont="1" applyFill="1" applyAlignment="1" applyProtection="1">
      <alignment horizontal="right"/>
    </xf>
    <xf numFmtId="0" fontId="0" fillId="3" borderId="0" xfId="0" applyFill="1" applyAlignment="1" applyProtection="1">
      <alignment horizontal="center"/>
    </xf>
    <xf numFmtId="0" fontId="14" fillId="3" borderId="2" xfId="0" applyFont="1" applyFill="1" applyBorder="1" applyProtection="1"/>
    <xf numFmtId="0" fontId="13" fillId="3" borderId="0" xfId="0" applyFont="1" applyFill="1" applyProtection="1"/>
    <xf numFmtId="0" fontId="0" fillId="3" borderId="2" xfId="0" applyFill="1" applyBorder="1" applyProtection="1"/>
    <xf numFmtId="0" fontId="13" fillId="3" borderId="2" xfId="0" applyFont="1" applyFill="1" applyBorder="1" applyProtection="1"/>
    <xf numFmtId="0" fontId="0" fillId="3" borderId="2" xfId="0" applyFill="1" applyBorder="1" applyAlignment="1" applyProtection="1">
      <alignment horizontal="center"/>
      <protection locked="0"/>
    </xf>
    <xf numFmtId="0" fontId="13" fillId="3" borderId="0" xfId="0" applyFont="1" applyFill="1" applyBorder="1" applyProtection="1"/>
    <xf numFmtId="0" fontId="0" fillId="3" borderId="0" xfId="0" applyFill="1" applyBorder="1" applyProtection="1"/>
    <xf numFmtId="0" fontId="0" fillId="3" borderId="0" xfId="0" applyFill="1" applyBorder="1" applyAlignment="1" applyProtection="1">
      <alignment horizontal="center"/>
    </xf>
    <xf numFmtId="0" fontId="17" fillId="3" borderId="0" xfId="0" applyFont="1" applyFill="1" applyProtection="1"/>
    <xf numFmtId="0" fontId="0" fillId="3" borderId="3" xfId="0" applyFill="1" applyBorder="1" applyProtection="1"/>
    <xf numFmtId="0" fontId="19" fillId="3" borderId="0" xfId="0" applyFont="1" applyFill="1" applyProtection="1"/>
    <xf numFmtId="0" fontId="0" fillId="3" borderId="4" xfId="0" applyFill="1" applyBorder="1" applyProtection="1"/>
    <xf numFmtId="0" fontId="0" fillId="3" borderId="5" xfId="0"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0" fillId="3" borderId="10" xfId="0" applyFill="1" applyBorder="1" applyProtection="1"/>
    <xf numFmtId="0" fontId="14" fillId="4" borderId="2" xfId="0" applyFont="1" applyFill="1" applyBorder="1" applyProtection="1"/>
    <xf numFmtId="164" fontId="57" fillId="3" borderId="11" xfId="0" applyNumberFormat="1" applyFont="1" applyFill="1" applyBorder="1" applyProtection="1"/>
    <xf numFmtId="0" fontId="41" fillId="3" borderId="12" xfId="0" applyFont="1" applyFill="1" applyBorder="1" applyProtection="1"/>
    <xf numFmtId="0" fontId="52" fillId="3" borderId="0" xfId="0" applyFont="1" applyFill="1" applyProtection="1"/>
    <xf numFmtId="0" fontId="0" fillId="3" borderId="0" xfId="0" applyFill="1" applyProtection="1">
      <protection locked="0"/>
    </xf>
    <xf numFmtId="0" fontId="11" fillId="3" borderId="0" xfId="0" applyNumberFormat="1" applyFont="1" applyFill="1" applyBorder="1" applyAlignment="1" applyProtection="1">
      <alignment horizontal="center"/>
    </xf>
    <xf numFmtId="2" fontId="0" fillId="3" borderId="2" xfId="0" applyNumberFormat="1" applyFill="1" applyBorder="1" applyProtection="1"/>
    <xf numFmtId="0" fontId="4" fillId="3" borderId="0" xfId="0" applyFont="1" applyFill="1" applyBorder="1" applyProtection="1"/>
    <xf numFmtId="0" fontId="0" fillId="3" borderId="0" xfId="0" applyFill="1" applyAlignment="1" applyProtection="1">
      <alignment horizontal="center" vertical="center" textRotation="90" wrapText="1"/>
    </xf>
    <xf numFmtId="0" fontId="19" fillId="3" borderId="0" xfId="0" applyFont="1" applyFill="1" applyAlignment="1" applyProtection="1">
      <alignment horizontal="center"/>
    </xf>
    <xf numFmtId="0" fontId="0" fillId="3" borderId="0" xfId="0" applyFill="1" applyAlignment="1" applyProtection="1"/>
    <xf numFmtId="164" fontId="9" fillId="3" borderId="0" xfId="0" applyNumberFormat="1" applyFont="1" applyFill="1" applyBorder="1" applyAlignment="1" applyProtection="1"/>
    <xf numFmtId="0" fontId="23" fillId="3" borderId="0" xfId="0" applyFont="1" applyFill="1" applyAlignment="1" applyProtection="1">
      <alignment horizontal="center"/>
    </xf>
    <xf numFmtId="0" fontId="23" fillId="3" borderId="0" xfId="0" applyFont="1" applyFill="1" applyBorder="1" applyAlignment="1" applyProtection="1">
      <alignment horizontal="center"/>
    </xf>
    <xf numFmtId="164" fontId="24" fillId="3" borderId="0" xfId="0" applyNumberFormat="1" applyFont="1" applyFill="1" applyBorder="1" applyAlignment="1" applyProtection="1">
      <alignment horizontal="center"/>
    </xf>
    <xf numFmtId="164" fontId="9" fillId="3" borderId="0" xfId="0" applyNumberFormat="1" applyFont="1" applyFill="1" applyBorder="1" applyAlignment="1" applyProtection="1">
      <alignment horizontal="center"/>
    </xf>
    <xf numFmtId="164" fontId="4" fillId="3" borderId="0" xfId="0" applyNumberFormat="1" applyFont="1" applyFill="1" applyBorder="1" applyAlignment="1" applyProtection="1">
      <alignment horizontal="left"/>
    </xf>
    <xf numFmtId="0" fontId="18" fillId="3" borderId="0" xfId="0" applyFont="1" applyFill="1" applyProtection="1"/>
    <xf numFmtId="165" fontId="2" fillId="3" borderId="0" xfId="0" applyNumberFormat="1" applyFont="1" applyFill="1" applyProtection="1"/>
    <xf numFmtId="0" fontId="30" fillId="3" borderId="0" xfId="0" applyFont="1" applyFill="1" applyBorder="1" applyProtection="1"/>
    <xf numFmtId="0" fontId="12" fillId="3" borderId="0" xfId="0" applyFont="1" applyFill="1" applyBorder="1" applyProtection="1"/>
    <xf numFmtId="0" fontId="3" fillId="3" borderId="0" xfId="0" applyFont="1" applyFill="1" applyBorder="1" applyProtection="1"/>
    <xf numFmtId="165" fontId="22" fillId="3" borderId="0" xfId="0" applyNumberFormat="1" applyFont="1" applyFill="1" applyBorder="1" applyProtection="1"/>
    <xf numFmtId="0" fontId="23" fillId="3" borderId="0" xfId="0" applyFont="1" applyFill="1" applyAlignment="1" applyProtection="1">
      <alignment horizontal="right"/>
    </xf>
    <xf numFmtId="0" fontId="19" fillId="3" borderId="3" xfId="0" applyFont="1" applyFill="1" applyBorder="1" applyProtection="1"/>
    <xf numFmtId="0" fontId="58" fillId="4" borderId="2" xfId="0" applyFont="1" applyFill="1" applyBorder="1" applyAlignment="1" applyProtection="1">
      <alignment horizontal="center" textRotation="90" wrapText="1"/>
    </xf>
    <xf numFmtId="0" fontId="14" fillId="4" borderId="2" xfId="0" applyFont="1" applyFill="1" applyBorder="1" applyAlignment="1" applyProtection="1">
      <alignment horizontal="center" wrapText="1"/>
    </xf>
    <xf numFmtId="0" fontId="0" fillId="5" borderId="0" xfId="0" applyFill="1" applyProtection="1"/>
    <xf numFmtId="0" fontId="74" fillId="5" borderId="0" xfId="0" applyFont="1" applyFill="1" applyBorder="1" applyProtection="1"/>
    <xf numFmtId="0" fontId="74" fillId="5" borderId="0" xfId="0" applyFont="1" applyFill="1" applyProtection="1"/>
    <xf numFmtId="0" fontId="19" fillId="5" borderId="0" xfId="0" applyFont="1" applyFill="1" applyProtection="1"/>
    <xf numFmtId="166" fontId="19" fillId="5" borderId="0" xfId="0" applyNumberFormat="1" applyFont="1" applyFill="1" applyBorder="1" applyAlignment="1" applyProtection="1">
      <alignment horizontal="center"/>
    </xf>
    <xf numFmtId="0" fontId="10" fillId="5" borderId="0" xfId="0" applyFont="1" applyFill="1" applyBorder="1" applyProtection="1"/>
    <xf numFmtId="0" fontId="25" fillId="5" borderId="0" xfId="0" applyFont="1" applyFill="1" applyProtection="1"/>
    <xf numFmtId="0" fontId="13" fillId="5" borderId="0" xfId="0" applyFont="1" applyFill="1" applyAlignment="1" applyProtection="1">
      <alignment horizontal="right"/>
    </xf>
    <xf numFmtId="0" fontId="0" fillId="5" borderId="0" xfId="0" applyFill="1" applyAlignment="1" applyProtection="1">
      <alignment horizontal="right"/>
    </xf>
    <xf numFmtId="0" fontId="12" fillId="5" borderId="0" xfId="0" applyFont="1" applyFill="1" applyBorder="1" applyProtection="1"/>
    <xf numFmtId="0" fontId="74" fillId="5" borderId="0" xfId="0" applyFont="1" applyFill="1" applyBorder="1" applyAlignment="1" applyProtection="1">
      <alignment horizontal="right"/>
    </xf>
    <xf numFmtId="0" fontId="44" fillId="5" borderId="0" xfId="0" applyFont="1" applyFill="1" applyBorder="1" applyAlignment="1" applyProtection="1">
      <alignment horizontal="center"/>
    </xf>
    <xf numFmtId="49" fontId="12" fillId="5" borderId="0" xfId="0" applyNumberFormat="1" applyFont="1" applyFill="1" applyProtection="1"/>
    <xf numFmtId="0" fontId="9" fillId="5" borderId="0" xfId="0" applyFont="1" applyFill="1" applyProtection="1"/>
    <xf numFmtId="0" fontId="10" fillId="5" borderId="0" xfId="0" applyFont="1" applyFill="1" applyProtection="1"/>
    <xf numFmtId="0" fontId="0" fillId="5" borderId="0" xfId="0" applyFill="1" applyAlignment="1" applyProtection="1">
      <alignment horizontal="center"/>
    </xf>
    <xf numFmtId="0" fontId="13" fillId="5" borderId="0" xfId="0" applyFont="1" applyFill="1" applyProtection="1"/>
    <xf numFmtId="0" fontId="14" fillId="6" borderId="2" xfId="0" applyFont="1" applyFill="1" applyBorder="1" applyProtection="1"/>
    <xf numFmtId="0" fontId="14" fillId="6" borderId="2" xfId="0" applyFont="1" applyFill="1" applyBorder="1" applyAlignment="1" applyProtection="1">
      <alignment horizontal="left" wrapText="1"/>
    </xf>
    <xf numFmtId="0" fontId="14" fillId="6" borderId="2" xfId="0" applyFont="1" applyFill="1" applyBorder="1" applyAlignment="1" applyProtection="1">
      <alignment horizontal="left" textRotation="90"/>
    </xf>
    <xf numFmtId="0" fontId="24" fillId="6" borderId="2" xfId="0" applyFont="1" applyFill="1" applyBorder="1" applyAlignment="1" applyProtection="1">
      <alignment horizontal="center" textRotation="90" wrapText="1"/>
    </xf>
    <xf numFmtId="0" fontId="14" fillId="6" borderId="13" xfId="0" applyFont="1" applyFill="1" applyBorder="1" applyAlignment="1" applyProtection="1">
      <alignment horizontal="left" textRotation="90"/>
    </xf>
    <xf numFmtId="0" fontId="14" fillId="6" borderId="2" xfId="0" applyFont="1" applyFill="1" applyBorder="1" applyAlignment="1" applyProtection="1">
      <alignment horizontal="left" textRotation="90" wrapText="1"/>
    </xf>
    <xf numFmtId="0" fontId="76" fillId="5" borderId="0" xfId="0" applyFont="1" applyFill="1" applyBorder="1" applyProtection="1"/>
    <xf numFmtId="0" fontId="76" fillId="5" borderId="0" xfId="0" applyFont="1" applyFill="1" applyProtection="1"/>
    <xf numFmtId="0" fontId="12" fillId="5" borderId="0" xfId="0" applyFont="1" applyFill="1" applyProtection="1"/>
    <xf numFmtId="0" fontId="12" fillId="5" borderId="2" xfId="0" applyFont="1" applyFill="1" applyBorder="1" applyProtection="1"/>
    <xf numFmtId="0" fontId="0" fillId="5" borderId="2" xfId="0" applyFill="1" applyBorder="1" applyProtection="1"/>
    <xf numFmtId="0" fontId="13" fillId="2" borderId="2" xfId="0" applyFont="1" applyFill="1" applyBorder="1" applyProtection="1"/>
    <xf numFmtId="0" fontId="0" fillId="2" borderId="2" xfId="0" applyFill="1" applyBorder="1" applyProtection="1"/>
    <xf numFmtId="2" fontId="0" fillId="2" borderId="2" xfId="0" applyNumberFormat="1" applyFill="1" applyBorder="1" applyAlignment="1" applyProtection="1">
      <alignment horizontal="center"/>
      <protection locked="0"/>
    </xf>
    <xf numFmtId="0" fontId="0" fillId="2" borderId="13" xfId="0" applyFill="1" applyBorder="1" applyProtection="1"/>
    <xf numFmtId="164" fontId="4" fillId="2" borderId="2" xfId="0" applyNumberFormat="1" applyFont="1" applyFill="1" applyBorder="1" applyAlignment="1" applyProtection="1">
      <alignment horizontal="center"/>
    </xf>
    <xf numFmtId="0" fontId="53" fillId="5" borderId="0" xfId="0" applyFont="1" applyFill="1" applyProtection="1"/>
    <xf numFmtId="0" fontId="0" fillId="5" borderId="0" xfId="0" applyFill="1" applyBorder="1" applyProtection="1"/>
    <xf numFmtId="0" fontId="13" fillId="5" borderId="0" xfId="0" applyFont="1" applyFill="1" applyBorder="1" applyProtection="1"/>
    <xf numFmtId="0" fontId="0" fillId="5" borderId="0" xfId="0" applyFill="1" applyBorder="1" applyAlignment="1" applyProtection="1">
      <alignment horizontal="center"/>
    </xf>
    <xf numFmtId="0" fontId="17" fillId="5" borderId="0" xfId="0" applyFont="1" applyFill="1" applyProtection="1"/>
    <xf numFmtId="0" fontId="19" fillId="5" borderId="2" xfId="0" applyFont="1" applyFill="1" applyBorder="1" applyProtection="1"/>
    <xf numFmtId="0" fontId="0" fillId="5" borderId="3" xfId="0" applyFill="1" applyBorder="1" applyProtection="1"/>
    <xf numFmtId="0" fontId="74" fillId="5" borderId="3" xfId="0" applyFont="1" applyFill="1" applyBorder="1" applyProtection="1"/>
    <xf numFmtId="0" fontId="2" fillId="5" borderId="0" xfId="0" applyFont="1" applyFill="1" applyBorder="1" applyProtection="1"/>
    <xf numFmtId="0" fontId="46" fillId="5" borderId="0" xfId="0" applyFont="1" applyFill="1" applyBorder="1" applyProtection="1"/>
    <xf numFmtId="0" fontId="46" fillId="5" borderId="0" xfId="0" applyFont="1" applyFill="1" applyBorder="1" applyAlignment="1" applyProtection="1">
      <alignment horizontal="right" wrapText="1"/>
    </xf>
    <xf numFmtId="0" fontId="0" fillId="5" borderId="0" xfId="0" applyFill="1" applyBorder="1" applyAlignment="1" applyProtection="1">
      <alignment horizontal="right" wrapText="1"/>
    </xf>
    <xf numFmtId="0" fontId="0" fillId="5" borderId="0" xfId="0" applyFill="1" applyBorder="1" applyAlignment="1" applyProtection="1">
      <alignment horizontal="left" vertical="top" wrapText="1"/>
    </xf>
    <xf numFmtId="0" fontId="46" fillId="5" borderId="0" xfId="0" applyFont="1" applyFill="1" applyBorder="1" applyAlignment="1" applyProtection="1">
      <alignment horizontal="right"/>
    </xf>
    <xf numFmtId="0" fontId="0" fillId="5" borderId="0" xfId="0" applyFill="1" applyBorder="1" applyAlignment="1" applyProtection="1">
      <alignment horizontal="right"/>
    </xf>
    <xf numFmtId="0" fontId="5" fillId="5" borderId="0" xfId="0" applyFont="1" applyFill="1" applyBorder="1" applyAlignment="1" applyProtection="1">
      <alignment horizontal="right"/>
    </xf>
    <xf numFmtId="0" fontId="55" fillId="5" borderId="0" xfId="0" applyFont="1" applyFill="1" applyProtection="1"/>
    <xf numFmtId="0" fontId="5" fillId="5" borderId="0" xfId="0" applyFont="1" applyFill="1" applyProtection="1"/>
    <xf numFmtId="0" fontId="5" fillId="5" borderId="0" xfId="0" applyFont="1" applyFill="1" applyBorder="1" applyProtection="1"/>
    <xf numFmtId="167" fontId="5" fillId="5" borderId="0" xfId="2" applyNumberFormat="1" applyFont="1" applyFill="1" applyAlignment="1" applyProtection="1">
      <alignment horizontal="right"/>
    </xf>
    <xf numFmtId="0" fontId="5" fillId="5" borderId="0" xfId="0" applyFont="1" applyFill="1" applyAlignment="1" applyProtection="1">
      <alignment horizontal="right"/>
    </xf>
    <xf numFmtId="44" fontId="5" fillId="5" borderId="0" xfId="2" applyFont="1" applyFill="1" applyBorder="1" applyAlignment="1" applyProtection="1">
      <alignment horizontal="right"/>
    </xf>
    <xf numFmtId="0" fontId="50" fillId="5" borderId="0" xfId="0" applyFont="1" applyFill="1" applyBorder="1" applyAlignment="1" applyProtection="1">
      <alignment horizontal="center" vertical="center" wrapText="1"/>
    </xf>
    <xf numFmtId="0" fontId="5" fillId="5" borderId="0" xfId="0" applyFont="1" applyFill="1" applyBorder="1" applyAlignment="1" applyProtection="1"/>
    <xf numFmtId="167" fontId="5" fillId="5" borderId="0" xfId="2" applyNumberFormat="1" applyFont="1" applyFill="1" applyBorder="1" applyAlignment="1" applyProtection="1"/>
    <xf numFmtId="0" fontId="5" fillId="5" borderId="14" xfId="0" applyFont="1" applyFill="1" applyBorder="1" applyAlignment="1" applyProtection="1">
      <alignment horizontal="right"/>
    </xf>
    <xf numFmtId="167" fontId="5" fillId="5" borderId="14" xfId="2" applyNumberFormat="1" applyFont="1" applyFill="1" applyBorder="1" applyAlignment="1" applyProtection="1">
      <alignment horizontal="center"/>
    </xf>
    <xf numFmtId="0" fontId="0" fillId="5" borderId="14" xfId="0" applyFill="1" applyBorder="1" applyProtection="1"/>
    <xf numFmtId="0" fontId="74" fillId="5" borderId="14" xfId="0" applyFont="1" applyFill="1" applyBorder="1" applyProtection="1"/>
    <xf numFmtId="167" fontId="5" fillId="5" borderId="0" xfId="2" applyNumberFormat="1" applyFont="1" applyFill="1" applyBorder="1" applyAlignment="1" applyProtection="1">
      <alignment horizontal="center"/>
    </xf>
    <xf numFmtId="0" fontId="9" fillId="5" borderId="0" xfId="0" applyFont="1" applyFill="1" applyAlignment="1" applyProtection="1">
      <alignment horizontal="left"/>
    </xf>
    <xf numFmtId="0" fontId="74" fillId="3" borderId="0" xfId="0" applyFont="1" applyFill="1" applyBorder="1" applyProtection="1"/>
    <xf numFmtId="0" fontId="75" fillId="3" borderId="0" xfId="0" applyFont="1" applyFill="1" applyProtection="1"/>
    <xf numFmtId="0" fontId="76" fillId="3" borderId="0" xfId="0" applyFont="1" applyFill="1" applyBorder="1" applyProtection="1"/>
    <xf numFmtId="0" fontId="11" fillId="3" borderId="0" xfId="0" applyFont="1" applyFill="1" applyBorder="1" applyAlignment="1" applyProtection="1">
      <alignment horizontal="center"/>
    </xf>
    <xf numFmtId="0" fontId="74" fillId="3" borderId="0" xfId="0" applyFont="1" applyFill="1" applyBorder="1" applyAlignment="1" applyProtection="1">
      <alignment horizontal="center" vertical="center" textRotation="90" wrapText="1"/>
    </xf>
    <xf numFmtId="0" fontId="0" fillId="3" borderId="0" xfId="0" applyFill="1" applyBorder="1" applyAlignment="1" applyProtection="1">
      <alignment horizontal="center" vertical="center" textRotation="90" wrapText="1"/>
    </xf>
    <xf numFmtId="0" fontId="10" fillId="3" borderId="0" xfId="0" applyFont="1" applyFill="1" applyBorder="1" applyProtection="1"/>
    <xf numFmtId="2" fontId="0" fillId="2" borderId="2" xfId="0" applyNumberFormat="1" applyFill="1" applyBorder="1" applyAlignment="1" applyProtection="1">
      <alignment horizontal="center"/>
    </xf>
    <xf numFmtId="164" fontId="110" fillId="2" borderId="2" xfId="0" applyNumberFormat="1" applyFont="1" applyFill="1" applyBorder="1" applyAlignment="1" applyProtection="1">
      <alignment horizontal="center"/>
    </xf>
    <xf numFmtId="2" fontId="111" fillId="2" borderId="2" xfId="0" applyNumberFormat="1" applyFont="1" applyFill="1" applyBorder="1" applyAlignment="1" applyProtection="1">
      <alignment horizontal="center"/>
    </xf>
    <xf numFmtId="164" fontId="111" fillId="2" borderId="2" xfId="0" applyNumberFormat="1" applyFont="1" applyFill="1" applyBorder="1" applyAlignment="1" applyProtection="1">
      <alignment horizontal="center"/>
    </xf>
    <xf numFmtId="0" fontId="112" fillId="3" borderId="0" xfId="0" applyFont="1" applyFill="1" applyBorder="1" applyProtection="1"/>
    <xf numFmtId="0" fontId="113" fillId="3" borderId="0" xfId="0" applyFont="1" applyFill="1" applyBorder="1" applyProtection="1"/>
    <xf numFmtId="3" fontId="112" fillId="3" borderId="0" xfId="0" applyNumberFormat="1" applyFont="1" applyFill="1" applyBorder="1" applyProtection="1"/>
    <xf numFmtId="0" fontId="112" fillId="3" borderId="0" xfId="0" applyFont="1" applyFill="1" applyBorder="1" applyAlignment="1" applyProtection="1">
      <alignment horizontal="center" vertical="center" textRotation="90" wrapText="1"/>
    </xf>
    <xf numFmtId="0" fontId="114" fillId="3" borderId="0" xfId="0" applyFont="1" applyFill="1" applyBorder="1" applyProtection="1"/>
    <xf numFmtId="0" fontId="114" fillId="3" borderId="0" xfId="0" applyFont="1" applyFill="1" applyBorder="1" applyAlignment="1" applyProtection="1">
      <alignment horizontal="left"/>
    </xf>
    <xf numFmtId="0" fontId="115" fillId="3" borderId="0" xfId="0" applyFont="1" applyFill="1" applyBorder="1" applyProtection="1"/>
    <xf numFmtId="0" fontId="116" fillId="3" borderId="0" xfId="0" applyFont="1" applyFill="1" applyBorder="1" applyAlignment="1" applyProtection="1"/>
    <xf numFmtId="0" fontId="114" fillId="3" borderId="0" xfId="0" applyFont="1" applyFill="1" applyBorder="1" applyAlignment="1" applyProtection="1">
      <alignment horizontal="right"/>
    </xf>
    <xf numFmtId="0" fontId="115" fillId="3" borderId="0" xfId="0" applyFont="1" applyFill="1" applyBorder="1" applyAlignment="1" applyProtection="1">
      <alignment horizontal="left"/>
    </xf>
    <xf numFmtId="164" fontId="117" fillId="3" borderId="0" xfId="0" applyNumberFormat="1" applyFont="1" applyFill="1" applyBorder="1" applyProtection="1"/>
    <xf numFmtId="15" fontId="114" fillId="3" borderId="0" xfId="0" applyNumberFormat="1" applyFont="1" applyFill="1" applyBorder="1" applyAlignment="1" applyProtection="1">
      <alignment horizontal="left"/>
    </xf>
    <xf numFmtId="3" fontId="114" fillId="3" borderId="0" xfId="0" applyNumberFormat="1" applyFont="1" applyFill="1" applyBorder="1" applyAlignment="1" applyProtection="1">
      <alignment horizontal="left"/>
    </xf>
    <xf numFmtId="164" fontId="114" fillId="3" borderId="0" xfId="0" applyNumberFormat="1" applyFont="1" applyFill="1" applyBorder="1" applyAlignment="1" applyProtection="1">
      <alignment horizontal="left"/>
    </xf>
    <xf numFmtId="2" fontId="114" fillId="3" borderId="0" xfId="0" applyNumberFormat="1" applyFont="1" applyFill="1" applyBorder="1" applyAlignment="1" applyProtection="1">
      <alignment horizontal="left"/>
    </xf>
    <xf numFmtId="1" fontId="114" fillId="3" borderId="0" xfId="0" applyNumberFormat="1" applyFont="1" applyFill="1" applyBorder="1" applyAlignment="1" applyProtection="1">
      <alignment horizontal="left"/>
    </xf>
    <xf numFmtId="0" fontId="114" fillId="3" borderId="0" xfId="0" applyFont="1" applyFill="1" applyBorder="1" applyAlignment="1" applyProtection="1">
      <alignment horizontal="center" vertical="center" textRotation="90" wrapText="1"/>
    </xf>
    <xf numFmtId="0" fontId="114" fillId="3" borderId="0" xfId="0" applyFont="1" applyFill="1" applyBorder="1" applyAlignment="1" applyProtection="1">
      <alignment horizontal="left" vertical="center" textRotation="90" wrapText="1"/>
    </xf>
    <xf numFmtId="164" fontId="114" fillId="3" borderId="0" xfId="0" applyNumberFormat="1" applyFont="1" applyFill="1" applyBorder="1" applyProtection="1"/>
    <xf numFmtId="0" fontId="118" fillId="3" borderId="0" xfId="0" applyFont="1" applyFill="1" applyBorder="1" applyAlignment="1" applyProtection="1">
      <alignment horizontal="center"/>
    </xf>
    <xf numFmtId="0" fontId="118" fillId="3" borderId="0" xfId="0" applyFont="1" applyFill="1" applyBorder="1" applyAlignment="1" applyProtection="1">
      <alignment horizontal="right"/>
    </xf>
    <xf numFmtId="49" fontId="119" fillId="2" borderId="15" xfId="0" applyNumberFormat="1" applyFont="1" applyFill="1" applyBorder="1" applyAlignment="1" applyProtection="1">
      <alignment horizontal="center"/>
    </xf>
    <xf numFmtId="0" fontId="118" fillId="2" borderId="16" xfId="0" applyFont="1" applyFill="1" applyBorder="1" applyAlignment="1" applyProtection="1">
      <alignment horizontal="center"/>
    </xf>
    <xf numFmtId="0" fontId="119" fillId="2" borderId="17" xfId="0" applyFont="1" applyFill="1" applyBorder="1" applyAlignment="1" applyProtection="1">
      <alignment horizontal="center"/>
      <protection locked="0"/>
    </xf>
    <xf numFmtId="0" fontId="118" fillId="3" borderId="0" xfId="0" applyFont="1" applyFill="1" applyProtection="1"/>
    <xf numFmtId="49" fontId="118" fillId="3" borderId="0" xfId="0" applyNumberFormat="1" applyFont="1" applyFill="1" applyAlignment="1" applyProtection="1">
      <alignment horizontal="center" vertical="top"/>
    </xf>
    <xf numFmtId="0" fontId="118" fillId="3" borderId="0" xfId="0" applyFont="1" applyFill="1" applyAlignment="1" applyProtection="1">
      <alignment horizontal="center" vertical="top"/>
    </xf>
    <xf numFmtId="165" fontId="111" fillId="2" borderId="11" xfId="0" applyNumberFormat="1" applyFont="1" applyFill="1" applyBorder="1" applyAlignment="1" applyProtection="1">
      <alignment horizontal="center"/>
    </xf>
    <xf numFmtId="0" fontId="114" fillId="3" borderId="0" xfId="0" applyFont="1" applyFill="1" applyProtection="1"/>
    <xf numFmtId="0" fontId="114" fillId="8" borderId="0" xfId="0" applyFont="1" applyFill="1" applyBorder="1" applyProtection="1"/>
    <xf numFmtId="0" fontId="120" fillId="8" borderId="0" xfId="0" applyFont="1" applyFill="1" applyBorder="1" applyProtection="1"/>
    <xf numFmtId="0" fontId="114" fillId="8" borderId="0" xfId="0" applyFont="1" applyFill="1" applyBorder="1" applyAlignment="1" applyProtection="1">
      <alignment horizontal="left"/>
    </xf>
    <xf numFmtId="49" fontId="114" fillId="8" borderId="0" xfId="0" applyNumberFormat="1" applyFont="1" applyFill="1" applyBorder="1" applyAlignment="1" applyProtection="1">
      <alignment horizontal="left"/>
    </xf>
    <xf numFmtId="0" fontId="114" fillId="8" borderId="0" xfId="0" applyNumberFormat="1" applyFont="1" applyFill="1" applyBorder="1" applyAlignment="1" applyProtection="1">
      <alignment horizontal="left"/>
    </xf>
    <xf numFmtId="0" fontId="114" fillId="8" borderId="0" xfId="0" applyFont="1" applyFill="1" applyBorder="1" applyAlignment="1" applyProtection="1">
      <alignment horizontal="center" vertical="center" textRotation="90" wrapText="1"/>
    </xf>
    <xf numFmtId="164" fontId="114" fillId="8" borderId="0" xfId="0" applyNumberFormat="1" applyFont="1" applyFill="1" applyBorder="1" applyAlignment="1" applyProtection="1">
      <alignment wrapText="1"/>
    </xf>
    <xf numFmtId="164" fontId="114" fillId="8" borderId="0" xfId="0" applyNumberFormat="1" applyFont="1" applyFill="1" applyBorder="1" applyProtection="1"/>
    <xf numFmtId="49" fontId="114" fillId="8" borderId="0" xfId="0" applyNumberFormat="1" applyFont="1" applyFill="1" applyBorder="1" applyProtection="1"/>
    <xf numFmtId="0" fontId="121" fillId="8" borderId="0" xfId="0" applyFont="1" applyFill="1" applyBorder="1" applyAlignment="1" applyProtection="1">
      <alignment horizontal="left" wrapText="1"/>
    </xf>
    <xf numFmtId="0" fontId="122" fillId="8" borderId="0" xfId="0" applyFont="1" applyFill="1" applyBorder="1" applyAlignment="1" applyProtection="1">
      <alignment horizontal="center" textRotation="90" wrapText="1"/>
    </xf>
    <xf numFmtId="0" fontId="123" fillId="8" borderId="0" xfId="0" applyFont="1" applyFill="1" applyBorder="1" applyAlignment="1" applyProtection="1">
      <alignment horizontal="center" textRotation="90" wrapText="1"/>
    </xf>
    <xf numFmtId="49" fontId="123" fillId="8" borderId="0" xfId="0" applyNumberFormat="1" applyFont="1" applyFill="1" applyBorder="1" applyAlignment="1" applyProtection="1">
      <alignment horizontal="center" textRotation="90" wrapText="1"/>
    </xf>
    <xf numFmtId="0" fontId="115" fillId="8" borderId="0" xfId="0" applyFont="1" applyFill="1" applyBorder="1" applyAlignment="1" applyProtection="1">
      <alignment horizontal="center" wrapText="1"/>
    </xf>
    <xf numFmtId="0" fontId="114" fillId="8" borderId="0" xfId="0" applyFont="1" applyFill="1" applyBorder="1" applyAlignment="1" applyProtection="1">
      <alignment horizontal="center" textRotation="90" wrapText="1"/>
    </xf>
    <xf numFmtId="0" fontId="115" fillId="8" borderId="0" xfId="0" applyFont="1" applyFill="1" applyBorder="1" applyAlignment="1" applyProtection="1">
      <alignment textRotation="90"/>
    </xf>
    <xf numFmtId="0" fontId="122" fillId="8" borderId="0" xfId="0" applyFont="1" applyFill="1" applyBorder="1" applyAlignment="1" applyProtection="1">
      <alignment horizontal="center"/>
    </xf>
    <xf numFmtId="49" fontId="122" fillId="8" borderId="0" xfId="0" applyNumberFormat="1" applyFont="1" applyFill="1" applyBorder="1" applyAlignment="1" applyProtection="1">
      <alignment horizontal="center" vertical="center" textRotation="90" wrapText="1"/>
    </xf>
    <xf numFmtId="49" fontId="115" fillId="8" borderId="0" xfId="0" applyNumberFormat="1" applyFont="1" applyFill="1" applyBorder="1" applyAlignment="1" applyProtection="1">
      <alignment horizontal="center" textRotation="90"/>
    </xf>
    <xf numFmtId="0" fontId="115" fillId="8" borderId="0" xfId="0" applyFont="1" applyFill="1" applyBorder="1" applyAlignment="1" applyProtection="1">
      <alignment horizontal="center" textRotation="90" wrapText="1"/>
    </xf>
    <xf numFmtId="0" fontId="115" fillId="8" borderId="0" xfId="0" applyFont="1" applyFill="1" applyBorder="1" applyAlignment="1" applyProtection="1">
      <alignment textRotation="90" wrapText="1"/>
    </xf>
    <xf numFmtId="0" fontId="117" fillId="8" borderId="0" xfId="0" applyFont="1" applyFill="1" applyBorder="1" applyAlignment="1" applyProtection="1">
      <alignment horizontal="center"/>
    </xf>
    <xf numFmtId="0" fontId="115" fillId="8" borderId="0" xfId="0" applyFont="1" applyFill="1" applyBorder="1" applyProtection="1"/>
    <xf numFmtId="2" fontId="115" fillId="8" borderId="0" xfId="0" applyNumberFormat="1" applyFont="1" applyFill="1" applyBorder="1" applyProtection="1"/>
    <xf numFmtId="0" fontId="114" fillId="8" borderId="0" xfId="0" applyFont="1" applyFill="1" applyBorder="1" applyProtection="1">
      <protection locked="0"/>
    </xf>
    <xf numFmtId="1" fontId="114" fillId="8" borderId="0" xfId="0" applyNumberFormat="1" applyFont="1" applyFill="1" applyBorder="1" applyProtection="1">
      <protection locked="0"/>
    </xf>
    <xf numFmtId="164" fontId="117" fillId="3" borderId="0" xfId="0" applyNumberFormat="1" applyFont="1" applyFill="1" applyProtection="1"/>
    <xf numFmtId="0" fontId="124" fillId="3" borderId="0" xfId="0" applyFont="1" applyFill="1" applyProtection="1"/>
    <xf numFmtId="0" fontId="124" fillId="3" borderId="0" xfId="0" applyFont="1" applyFill="1" applyBorder="1" applyProtection="1"/>
    <xf numFmtId="0" fontId="23" fillId="3" borderId="0" xfId="0" applyFont="1" applyFill="1" applyBorder="1" applyAlignment="1" applyProtection="1">
      <alignment horizontal="right" vertical="top"/>
    </xf>
    <xf numFmtId="0" fontId="125" fillId="3" borderId="0" xfId="0" applyFont="1" applyFill="1" applyProtection="1"/>
    <xf numFmtId="0" fontId="126" fillId="3" borderId="2" xfId="0" applyFont="1" applyFill="1" applyBorder="1" applyProtection="1"/>
    <xf numFmtId="0" fontId="126" fillId="3" borderId="2" xfId="0" applyFont="1" applyFill="1" applyBorder="1" applyAlignment="1" applyProtection="1">
      <alignment vertical="justify" wrapText="1"/>
      <protection locked="0"/>
    </xf>
    <xf numFmtId="0" fontId="124" fillId="3" borderId="2" xfId="0" applyNumberFormat="1" applyFont="1" applyFill="1" applyBorder="1" applyAlignment="1" applyProtection="1">
      <alignment horizontal="center" vertical="justify" wrapText="1"/>
      <protection locked="0"/>
    </xf>
    <xf numFmtId="0" fontId="124" fillId="2" borderId="2" xfId="0" applyFont="1" applyFill="1" applyBorder="1" applyAlignment="1" applyProtection="1">
      <alignment horizontal="center"/>
      <protection locked="0"/>
    </xf>
    <xf numFmtId="0" fontId="63" fillId="9" borderId="0" xfId="0" applyFont="1" applyFill="1" applyBorder="1" applyAlignment="1" applyProtection="1">
      <alignment wrapText="1"/>
    </xf>
    <xf numFmtId="167" fontId="63" fillId="9" borderId="0" xfId="2" applyNumberFormat="1" applyFont="1" applyFill="1" applyBorder="1" applyAlignment="1" applyProtection="1">
      <alignment horizontal="right" wrapText="1"/>
    </xf>
    <xf numFmtId="0" fontId="63" fillId="9" borderId="0" xfId="0" applyFont="1" applyFill="1" applyBorder="1" applyAlignment="1" applyProtection="1">
      <alignment horizontal="right" wrapText="1"/>
    </xf>
    <xf numFmtId="44" fontId="63" fillId="9" borderId="0" xfId="2" applyFont="1" applyFill="1" applyBorder="1" applyAlignment="1" applyProtection="1">
      <alignment horizontal="right" wrapText="1"/>
    </xf>
    <xf numFmtId="44" fontId="63" fillId="9" borderId="18" xfId="2" applyFont="1" applyFill="1" applyBorder="1" applyAlignment="1" applyProtection="1">
      <alignment horizontal="right" wrapText="1"/>
    </xf>
    <xf numFmtId="0" fontId="64" fillId="9" borderId="0" xfId="0" applyFont="1" applyFill="1" applyBorder="1" applyAlignment="1" applyProtection="1">
      <alignment horizontal="right" wrapText="1"/>
    </xf>
    <xf numFmtId="0" fontId="81" fillId="9" borderId="0" xfId="0" applyFont="1" applyFill="1" applyAlignment="1" applyProtection="1">
      <alignment wrapText="1"/>
    </xf>
    <xf numFmtId="0" fontId="64" fillId="9" borderId="0" xfId="0" applyFont="1" applyFill="1" applyAlignment="1" applyProtection="1">
      <alignment wrapText="1"/>
    </xf>
    <xf numFmtId="0" fontId="65" fillId="9" borderId="0" xfId="0" applyFont="1" applyFill="1" applyBorder="1" applyAlignment="1" applyProtection="1">
      <alignment horizontal="right" vertical="center" wrapText="1"/>
    </xf>
    <xf numFmtId="0" fontId="64" fillId="9" borderId="0" xfId="0" applyFont="1" applyFill="1" applyBorder="1" applyAlignment="1" applyProtection="1">
      <alignment horizontal="left" wrapText="1"/>
    </xf>
    <xf numFmtId="0" fontId="67" fillId="9" borderId="0" xfId="0" applyFont="1" applyFill="1" applyBorder="1" applyAlignment="1" applyProtection="1">
      <alignment wrapText="1"/>
    </xf>
    <xf numFmtId="0" fontId="64" fillId="9" borderId="0" xfId="0" applyFont="1" applyFill="1" applyBorder="1" applyAlignment="1" applyProtection="1">
      <alignment wrapText="1"/>
    </xf>
    <xf numFmtId="15" fontId="63" fillId="9" borderId="0" xfId="0" applyNumberFormat="1" applyFont="1" applyFill="1" applyBorder="1" applyAlignment="1" applyProtection="1">
      <alignment horizontal="center" wrapText="1"/>
    </xf>
    <xf numFmtId="167" fontId="63" fillId="9" borderId="0" xfId="2" applyNumberFormat="1" applyFont="1" applyFill="1" applyBorder="1" applyAlignment="1" applyProtection="1">
      <alignment horizontal="center" wrapText="1"/>
    </xf>
    <xf numFmtId="0" fontId="63" fillId="9" borderId="0" xfId="0" applyFont="1" applyFill="1" applyBorder="1" applyAlignment="1" applyProtection="1">
      <alignment horizontal="center" wrapText="1"/>
    </xf>
    <xf numFmtId="0" fontId="64" fillId="9" borderId="0" xfId="0" applyFont="1" applyFill="1" applyBorder="1" applyAlignment="1" applyProtection="1">
      <alignment horizontal="right" vertical="center" wrapText="1"/>
    </xf>
    <xf numFmtId="0" fontId="63" fillId="9" borderId="0" xfId="0" applyFont="1" applyFill="1" applyBorder="1" applyAlignment="1" applyProtection="1">
      <alignment horizontal="right" vertical="center" wrapText="1"/>
    </xf>
    <xf numFmtId="0" fontId="71" fillId="9" borderId="0" xfId="0" applyFont="1" applyFill="1" applyBorder="1" applyAlignment="1" applyProtection="1">
      <alignment horizontal="center" wrapText="1"/>
    </xf>
    <xf numFmtId="167" fontId="63" fillId="9" borderId="0" xfId="2" applyNumberFormat="1" applyFont="1" applyFill="1" applyAlignment="1" applyProtection="1">
      <alignment horizontal="right" wrapText="1"/>
    </xf>
    <xf numFmtId="0" fontId="80" fillId="9" borderId="0" xfId="0" applyFont="1" applyFill="1" applyAlignment="1" applyProtection="1">
      <alignment wrapText="1"/>
    </xf>
    <xf numFmtId="0" fontId="63" fillId="9" borderId="0" xfId="0" applyFont="1" applyFill="1" applyAlignment="1" applyProtection="1">
      <alignment wrapText="1"/>
    </xf>
    <xf numFmtId="167" fontId="63" fillId="9" borderId="3" xfId="2" applyNumberFormat="1" applyFont="1" applyFill="1" applyBorder="1" applyAlignment="1" applyProtection="1">
      <alignment horizontal="center" wrapText="1"/>
    </xf>
    <xf numFmtId="0" fontId="63" fillId="9" borderId="3" xfId="0" applyFont="1" applyFill="1" applyBorder="1" applyAlignment="1" applyProtection="1">
      <alignment horizontal="center" wrapText="1"/>
    </xf>
    <xf numFmtId="0" fontId="64" fillId="9" borderId="0" xfId="0" applyFont="1" applyFill="1" applyBorder="1" applyAlignment="1" applyProtection="1">
      <alignment horizontal="center" wrapText="1"/>
    </xf>
    <xf numFmtId="164" fontId="64" fillId="9" borderId="0" xfId="0" applyNumberFormat="1" applyFont="1" applyFill="1" applyBorder="1" applyAlignment="1" applyProtection="1">
      <alignment horizontal="center" wrapText="1"/>
    </xf>
    <xf numFmtId="0" fontId="63" fillId="9" borderId="0" xfId="0" applyFont="1" applyFill="1" applyAlignment="1" applyProtection="1">
      <alignment horizontal="right" wrapText="1"/>
    </xf>
    <xf numFmtId="0" fontId="61" fillId="7" borderId="19" xfId="0" applyFont="1" applyFill="1" applyBorder="1" applyAlignment="1" applyProtection="1">
      <alignment horizontal="center" vertical="center" wrapText="1"/>
    </xf>
    <xf numFmtId="0" fontId="69" fillId="7" borderId="11" xfId="0" applyFont="1" applyFill="1" applyBorder="1" applyAlignment="1" applyProtection="1">
      <alignment vertical="top" wrapText="1"/>
    </xf>
    <xf numFmtId="168" fontId="68" fillId="7" borderId="11" xfId="0" applyNumberFormat="1" applyFont="1" applyFill="1" applyBorder="1" applyAlignment="1" applyProtection="1">
      <alignment horizontal="center" vertical="center" wrapText="1"/>
    </xf>
    <xf numFmtId="164" fontId="61" fillId="7" borderId="11" xfId="0" applyNumberFormat="1" applyFont="1" applyFill="1" applyBorder="1" applyAlignment="1" applyProtection="1">
      <alignment horizontal="center" wrapText="1"/>
    </xf>
    <xf numFmtId="49" fontId="69" fillId="7" borderId="11" xfId="0" applyNumberFormat="1" applyFont="1" applyFill="1" applyBorder="1" applyAlignment="1" applyProtection="1">
      <alignment horizontal="center" vertical="top" wrapText="1"/>
      <protection locked="0"/>
    </xf>
    <xf numFmtId="0" fontId="64" fillId="9" borderId="4" xfId="0" applyFont="1" applyFill="1" applyBorder="1" applyAlignment="1" applyProtection="1">
      <alignment wrapText="1"/>
    </xf>
    <xf numFmtId="0" fontId="64" fillId="9" borderId="6" xfId="0" applyFont="1" applyFill="1" applyBorder="1" applyAlignment="1" applyProtection="1">
      <alignment horizontal="right" wrapText="1"/>
    </xf>
    <xf numFmtId="0" fontId="64" fillId="9" borderId="7" xfId="0" applyFont="1" applyFill="1" applyBorder="1" applyAlignment="1" applyProtection="1">
      <alignment wrapText="1"/>
    </xf>
    <xf numFmtId="0" fontId="64" fillId="9" borderId="8" xfId="0" applyFont="1" applyFill="1" applyBorder="1" applyAlignment="1" applyProtection="1">
      <alignment horizontal="right" wrapText="1"/>
    </xf>
    <xf numFmtId="167" fontId="64" fillId="9" borderId="0" xfId="2" applyNumberFormat="1" applyFont="1" applyFill="1" applyBorder="1" applyAlignment="1" applyProtection="1">
      <alignment horizontal="right" wrapText="1"/>
    </xf>
    <xf numFmtId="167" fontId="65" fillId="9" borderId="0" xfId="2" applyNumberFormat="1" applyFont="1" applyFill="1" applyBorder="1" applyAlignment="1" applyProtection="1">
      <alignment horizontal="left" wrapText="1"/>
    </xf>
    <xf numFmtId="15" fontId="63" fillId="9" borderId="8" xfId="0" applyNumberFormat="1" applyFont="1" applyFill="1" applyBorder="1" applyAlignment="1" applyProtection="1">
      <alignment horizontal="center" wrapText="1"/>
    </xf>
    <xf numFmtId="0" fontId="71" fillId="9" borderId="8" xfId="0" applyFont="1" applyFill="1" applyBorder="1" applyAlignment="1" applyProtection="1">
      <alignment horizontal="left" vertical="top" wrapText="1"/>
    </xf>
    <xf numFmtId="0" fontId="63" fillId="9" borderId="8" xfId="0" applyFont="1" applyFill="1" applyBorder="1" applyAlignment="1" applyProtection="1">
      <alignment horizontal="center" wrapText="1"/>
    </xf>
    <xf numFmtId="0" fontId="63" fillId="9" borderId="7" xfId="0" applyFont="1" applyFill="1" applyBorder="1" applyAlignment="1" applyProtection="1">
      <alignment wrapText="1"/>
    </xf>
    <xf numFmtId="44" fontId="63" fillId="9" borderId="8" xfId="2" applyFont="1" applyFill="1" applyBorder="1" applyAlignment="1" applyProtection="1">
      <alignment horizontal="right" wrapText="1"/>
    </xf>
    <xf numFmtId="164" fontId="64" fillId="9" borderId="0" xfId="2" applyNumberFormat="1" applyFont="1" applyFill="1" applyBorder="1" applyAlignment="1" applyProtection="1">
      <alignment horizontal="center" wrapText="1"/>
    </xf>
    <xf numFmtId="0" fontId="63" fillId="9" borderId="9" xfId="0" applyFont="1" applyFill="1" applyBorder="1" applyAlignment="1" applyProtection="1">
      <alignment wrapText="1"/>
    </xf>
    <xf numFmtId="0" fontId="63" fillId="9" borderId="3" xfId="0" applyFont="1" applyFill="1" applyBorder="1" applyAlignment="1" applyProtection="1">
      <alignment wrapText="1"/>
    </xf>
    <xf numFmtId="167" fontId="63" fillId="9" borderId="3" xfId="2" applyNumberFormat="1" applyFont="1" applyFill="1" applyBorder="1" applyAlignment="1" applyProtection="1">
      <alignment horizontal="right" wrapText="1"/>
    </xf>
    <xf numFmtId="0" fontId="63" fillId="9" borderId="3" xfId="0" applyFont="1" applyFill="1" applyBorder="1" applyAlignment="1" applyProtection="1">
      <alignment horizontal="right" wrapText="1"/>
    </xf>
    <xf numFmtId="44" fontId="63" fillId="9" borderId="3" xfId="2" applyFont="1" applyFill="1" applyBorder="1" applyAlignment="1" applyProtection="1">
      <alignment horizontal="right" wrapText="1"/>
    </xf>
    <xf numFmtId="44" fontId="63" fillId="9" borderId="10" xfId="2" applyFont="1" applyFill="1" applyBorder="1" applyAlignment="1" applyProtection="1">
      <alignment horizontal="right" wrapText="1"/>
    </xf>
    <xf numFmtId="0" fontId="0" fillId="9" borderId="18" xfId="0" applyFill="1" applyBorder="1" applyProtection="1"/>
    <xf numFmtId="0" fontId="0" fillId="9" borderId="0" xfId="0" applyFill="1" applyProtection="1"/>
    <xf numFmtId="0" fontId="127" fillId="9" borderId="0" xfId="0" applyFont="1" applyFill="1" applyBorder="1" applyProtection="1"/>
    <xf numFmtId="0" fontId="111" fillId="9" borderId="0" xfId="0" applyFont="1" applyFill="1" applyBorder="1" applyProtection="1"/>
    <xf numFmtId="0" fontId="128" fillId="9" borderId="0" xfId="0" applyFont="1" applyFill="1" applyBorder="1" applyProtection="1"/>
    <xf numFmtId="0" fontId="128" fillId="9" borderId="0" xfId="0" applyFont="1" applyFill="1" applyBorder="1" applyAlignment="1" applyProtection="1">
      <alignment horizontal="left"/>
    </xf>
    <xf numFmtId="0" fontId="1" fillId="9" borderId="0" xfId="0" applyFont="1" applyFill="1" applyBorder="1" applyProtection="1"/>
    <xf numFmtId="0" fontId="5" fillId="9" borderId="0" xfId="0" applyFont="1" applyFill="1" applyBorder="1" applyProtection="1"/>
    <xf numFmtId="0" fontId="36" fillId="9" borderId="0" xfId="0" applyFont="1" applyFill="1" applyProtection="1"/>
    <xf numFmtId="0" fontId="91" fillId="9" borderId="0" xfId="0" applyFont="1" applyFill="1" applyBorder="1" applyAlignment="1" applyProtection="1">
      <alignment horizontal="center"/>
    </xf>
    <xf numFmtId="0" fontId="5" fillId="9" borderId="0" xfId="0" applyFont="1" applyFill="1" applyProtection="1"/>
    <xf numFmtId="0" fontId="129" fillId="9" borderId="0" xfId="0" applyFont="1" applyFill="1" applyProtection="1"/>
    <xf numFmtId="0" fontId="0" fillId="9" borderId="0" xfId="0" applyFill="1" applyBorder="1" applyProtection="1"/>
    <xf numFmtId="0" fontId="91" fillId="9" borderId="0" xfId="0" applyFont="1" applyFill="1" applyBorder="1" applyProtection="1"/>
    <xf numFmtId="0" fontId="62" fillId="9" borderId="0" xfId="0" applyFont="1" applyFill="1" applyProtection="1"/>
    <xf numFmtId="0" fontId="80" fillId="9" borderId="0" xfId="0" applyFont="1" applyFill="1" applyProtection="1"/>
    <xf numFmtId="14" fontId="5" fillId="9" borderId="0" xfId="0" applyNumberFormat="1" applyFont="1" applyFill="1" applyBorder="1" applyProtection="1"/>
    <xf numFmtId="0" fontId="0" fillId="9" borderId="3" xfId="0" applyFill="1" applyBorder="1" applyProtection="1"/>
    <xf numFmtId="0" fontId="110" fillId="9" borderId="0" xfId="0" applyFont="1" applyFill="1" applyBorder="1" applyProtection="1"/>
    <xf numFmtId="0" fontId="0" fillId="9" borderId="0" xfId="0" applyFill="1" applyAlignment="1" applyProtection="1">
      <alignment horizontal="right"/>
    </xf>
    <xf numFmtId="0" fontId="52" fillId="9" borderId="0" xfId="0" applyFont="1" applyFill="1" applyProtection="1"/>
    <xf numFmtId="0" fontId="5" fillId="9" borderId="0" xfId="0" applyFont="1" applyFill="1" applyAlignment="1" applyProtection="1">
      <alignment horizontal="right"/>
    </xf>
    <xf numFmtId="0" fontId="130" fillId="9" borderId="0" xfId="0" applyFont="1" applyFill="1" applyBorder="1" applyAlignment="1" applyProtection="1"/>
    <xf numFmtId="0" fontId="131" fillId="9" borderId="0" xfId="0" applyFont="1" applyFill="1" applyBorder="1" applyAlignment="1" applyProtection="1"/>
    <xf numFmtId="0" fontId="7" fillId="9" borderId="0" xfId="0" applyFont="1" applyFill="1" applyBorder="1" applyAlignment="1" applyProtection="1">
      <alignment horizontal="center"/>
    </xf>
    <xf numFmtId="0" fontId="11" fillId="9" borderId="0" xfId="0" applyNumberFormat="1" applyFont="1" applyFill="1" applyBorder="1" applyAlignment="1" applyProtection="1">
      <alignment horizontal="center"/>
    </xf>
    <xf numFmtId="49" fontId="54" fillId="9" borderId="0" xfId="0" applyNumberFormat="1" applyFont="1" applyFill="1" applyProtection="1"/>
    <xf numFmtId="0" fontId="9" fillId="9" borderId="0" xfId="0" applyFont="1" applyFill="1" applyProtection="1"/>
    <xf numFmtId="0" fontId="10" fillId="9" borderId="0" xfId="0" applyFont="1" applyFill="1" applyProtection="1"/>
    <xf numFmtId="0" fontId="0" fillId="9" borderId="0" xfId="0" applyFill="1" applyAlignment="1" applyProtection="1">
      <alignment horizontal="center"/>
    </xf>
    <xf numFmtId="0" fontId="13" fillId="9" borderId="18" xfId="0" applyFont="1" applyFill="1" applyBorder="1" applyProtection="1"/>
    <xf numFmtId="0" fontId="132" fillId="9" borderId="0" xfId="0" applyFont="1" applyFill="1" applyBorder="1" applyAlignment="1" applyProtection="1">
      <alignment horizontal="center" wrapText="1"/>
    </xf>
    <xf numFmtId="0" fontId="111" fillId="9" borderId="0" xfId="0" applyFont="1" applyFill="1" applyBorder="1" applyAlignment="1" applyProtection="1">
      <alignment horizontal="right" textRotation="90" wrapText="1"/>
    </xf>
    <xf numFmtId="0" fontId="111" fillId="9" borderId="0" xfId="0" applyFont="1" applyFill="1" applyBorder="1" applyAlignment="1" applyProtection="1">
      <alignment horizontal="right"/>
    </xf>
    <xf numFmtId="0" fontId="13" fillId="9" borderId="0" xfId="0" applyFont="1" applyFill="1" applyBorder="1" applyAlignment="1" applyProtection="1">
      <alignment horizontal="right"/>
    </xf>
    <xf numFmtId="0" fontId="133" fillId="9" borderId="0" xfId="0" applyFont="1" applyFill="1" applyBorder="1" applyProtection="1"/>
    <xf numFmtId="0" fontId="133" fillId="9" borderId="0" xfId="0" applyFont="1" applyFill="1" applyBorder="1" applyAlignment="1" applyProtection="1">
      <alignment horizontal="left"/>
    </xf>
    <xf numFmtId="0" fontId="13" fillId="9" borderId="0" xfId="0" applyFont="1" applyFill="1" applyBorder="1" applyProtection="1"/>
    <xf numFmtId="0" fontId="13" fillId="9" borderId="0" xfId="0" applyFont="1" applyFill="1" applyProtection="1"/>
    <xf numFmtId="0" fontId="80" fillId="9" borderId="18" xfId="0" applyFont="1" applyFill="1" applyBorder="1" applyProtection="1"/>
    <xf numFmtId="0" fontId="13" fillId="9" borderId="2" xfId="0" applyFont="1" applyFill="1" applyBorder="1" applyAlignment="1" applyProtection="1">
      <alignment horizontal="center"/>
    </xf>
    <xf numFmtId="0" fontId="0" fillId="9" borderId="2" xfId="0" applyFill="1" applyBorder="1" applyProtection="1"/>
    <xf numFmtId="0" fontId="29" fillId="9" borderId="2" xfId="0" applyFont="1" applyFill="1" applyBorder="1" applyAlignment="1" applyProtection="1">
      <alignment horizontal="center"/>
    </xf>
    <xf numFmtId="0" fontId="111" fillId="9" borderId="0" xfId="0" applyFont="1" applyFill="1" applyBorder="1" applyAlignment="1" applyProtection="1">
      <alignment horizontal="center"/>
    </xf>
    <xf numFmtId="164" fontId="134" fillId="9" borderId="0" xfId="0" applyNumberFormat="1" applyFont="1" applyFill="1" applyBorder="1" applyAlignment="1" applyProtection="1">
      <alignment horizontal="center"/>
    </xf>
    <xf numFmtId="164" fontId="18" fillId="9" borderId="0" xfId="0" applyNumberFormat="1" applyFont="1" applyFill="1" applyBorder="1" applyAlignment="1" applyProtection="1">
      <alignment horizontal="center"/>
    </xf>
    <xf numFmtId="49" fontId="133" fillId="9" borderId="0" xfId="0" applyNumberFormat="1" applyFont="1" applyFill="1" applyBorder="1" applyAlignment="1" applyProtection="1">
      <alignment horizontal="left"/>
    </xf>
    <xf numFmtId="165" fontId="128" fillId="9" borderId="0" xfId="0" applyNumberFormat="1" applyFont="1" applyFill="1" applyBorder="1" applyProtection="1"/>
    <xf numFmtId="165" fontId="1" fillId="9" borderId="0" xfId="0" applyNumberFormat="1" applyFont="1" applyFill="1" applyBorder="1" applyProtection="1"/>
    <xf numFmtId="3" fontId="5" fillId="9" borderId="0" xfId="0" applyNumberFormat="1" applyFont="1" applyFill="1" applyBorder="1" applyProtection="1"/>
    <xf numFmtId="15" fontId="128" fillId="9" borderId="0" xfId="0" applyNumberFormat="1" applyFont="1" applyFill="1" applyBorder="1" applyAlignment="1" applyProtection="1">
      <alignment horizontal="left"/>
    </xf>
    <xf numFmtId="3" fontId="128" fillId="9" borderId="0" xfId="0" applyNumberFormat="1" applyFont="1" applyFill="1" applyBorder="1" applyAlignment="1" applyProtection="1">
      <alignment horizontal="left"/>
    </xf>
    <xf numFmtId="164" fontId="128" fillId="9" borderId="0" xfId="0" applyNumberFormat="1" applyFont="1" applyFill="1" applyBorder="1" applyAlignment="1" applyProtection="1">
      <alignment horizontal="left"/>
    </xf>
    <xf numFmtId="2" fontId="128" fillId="9" borderId="0" xfId="0" applyNumberFormat="1" applyFont="1" applyFill="1" applyBorder="1" applyAlignment="1" applyProtection="1">
      <alignment horizontal="left"/>
    </xf>
    <xf numFmtId="1" fontId="128" fillId="9" borderId="0" xfId="0" applyNumberFormat="1" applyFont="1" applyFill="1" applyBorder="1" applyAlignment="1" applyProtection="1">
      <alignment horizontal="left"/>
    </xf>
    <xf numFmtId="0" fontId="0" fillId="9" borderId="0" xfId="0" applyFill="1" applyBorder="1" applyAlignment="1" applyProtection="1">
      <alignment horizontal="center"/>
    </xf>
    <xf numFmtId="0" fontId="129" fillId="9" borderId="0" xfId="0" applyFont="1" applyFill="1" applyBorder="1" applyProtection="1"/>
    <xf numFmtId="164" fontId="111" fillId="9" borderId="0" xfId="0" applyNumberFormat="1" applyFont="1" applyFill="1" applyBorder="1" applyAlignment="1" applyProtection="1">
      <alignment horizontal="center"/>
    </xf>
    <xf numFmtId="0" fontId="1" fillId="9" borderId="0" xfId="0" applyFont="1" applyFill="1" applyAlignment="1" applyProtection="1">
      <alignment horizontal="right"/>
    </xf>
    <xf numFmtId="0" fontId="0" fillId="9" borderId="21" xfId="0" applyFill="1" applyBorder="1" applyProtection="1"/>
    <xf numFmtId="0" fontId="100" fillId="9" borderId="0" xfId="0" applyFont="1" applyFill="1" applyAlignment="1" applyProtection="1">
      <alignment horizontal="center" vertical="top"/>
    </xf>
    <xf numFmtId="0" fontId="1" fillId="9" borderId="0" xfId="0" applyFont="1" applyFill="1" applyProtection="1"/>
    <xf numFmtId="0" fontId="0" fillId="9" borderId="23" xfId="0" applyFill="1" applyBorder="1" applyProtection="1"/>
    <xf numFmtId="0" fontId="0" fillId="9" borderId="24" xfId="0" applyFill="1" applyBorder="1" applyProtection="1"/>
    <xf numFmtId="0" fontId="111" fillId="9" borderId="24" xfId="0" applyFont="1" applyFill="1" applyBorder="1" applyProtection="1"/>
    <xf numFmtId="0" fontId="128" fillId="9" borderId="24" xfId="0" applyFont="1" applyFill="1" applyBorder="1" applyProtection="1"/>
    <xf numFmtId="0" fontId="128" fillId="9" borderId="24" xfId="0" applyFont="1" applyFill="1" applyBorder="1" applyAlignment="1" applyProtection="1">
      <alignment horizontal="left"/>
    </xf>
    <xf numFmtId="0" fontId="1" fillId="9" borderId="24" xfId="0" applyFont="1" applyFill="1" applyBorder="1" applyProtection="1"/>
    <xf numFmtId="0" fontId="5" fillId="9" borderId="24" xfId="0" applyFont="1" applyFill="1" applyBorder="1" applyProtection="1"/>
    <xf numFmtId="0" fontId="28" fillId="9" borderId="0" xfId="0" applyFont="1" applyFill="1" applyProtection="1"/>
    <xf numFmtId="0" fontId="33" fillId="9" borderId="0" xfId="0" applyFont="1" applyFill="1" applyProtection="1"/>
    <xf numFmtId="0" fontId="33" fillId="9" borderId="0" xfId="0" applyFont="1" applyFill="1" applyAlignment="1" applyProtection="1">
      <alignment horizontal="center"/>
    </xf>
    <xf numFmtId="0" fontId="27" fillId="9" borderId="0" xfId="0" applyFont="1" applyFill="1" applyProtection="1"/>
    <xf numFmtId="1" fontId="128" fillId="9" borderId="0" xfId="0" applyNumberFormat="1" applyFont="1" applyFill="1" applyBorder="1" applyProtection="1"/>
    <xf numFmtId="0" fontId="28" fillId="9" borderId="0" xfId="0" applyFont="1" applyFill="1" applyAlignment="1" applyProtection="1"/>
    <xf numFmtId="0" fontId="28" fillId="9" borderId="0" xfId="0" applyFont="1" applyFill="1" applyBorder="1" applyProtection="1"/>
    <xf numFmtId="0" fontId="28" fillId="9" borderId="0" xfId="0" applyFont="1" applyFill="1" applyBorder="1" applyAlignment="1" applyProtection="1">
      <alignment textRotation="90"/>
    </xf>
    <xf numFmtId="0" fontId="28" fillId="9" borderId="0" xfId="0" applyFont="1" applyFill="1" applyBorder="1" applyAlignment="1" applyProtection="1">
      <alignment horizontal="center"/>
    </xf>
    <xf numFmtId="2" fontId="28" fillId="9" borderId="0" xfId="0" applyNumberFormat="1" applyFont="1" applyFill="1" applyBorder="1" applyProtection="1"/>
    <xf numFmtId="0" fontId="27" fillId="9" borderId="0" xfId="0" applyFont="1" applyFill="1" applyBorder="1" applyProtection="1"/>
    <xf numFmtId="164" fontId="28" fillId="9" borderId="0" xfId="0" applyNumberFormat="1" applyFont="1" applyFill="1" applyBorder="1" applyAlignment="1" applyProtection="1">
      <alignment horizontal="center"/>
    </xf>
    <xf numFmtId="0" fontId="28" fillId="9" borderId="0" xfId="0" applyFont="1" applyFill="1" applyBorder="1" applyAlignment="1" applyProtection="1">
      <alignment horizontal="right"/>
    </xf>
    <xf numFmtId="0" fontId="13" fillId="9" borderId="0" xfId="0" applyFont="1" applyFill="1" applyAlignment="1" applyProtection="1">
      <alignment horizontal="center"/>
    </xf>
    <xf numFmtId="0" fontId="82" fillId="9" borderId="25" xfId="0" applyFont="1" applyFill="1" applyBorder="1" applyProtection="1"/>
    <xf numFmtId="0" fontId="86" fillId="9" borderId="0" xfId="0" applyFont="1" applyFill="1" applyProtection="1"/>
    <xf numFmtId="0" fontId="82" fillId="9" borderId="0" xfId="0" applyFont="1" applyFill="1" applyProtection="1"/>
    <xf numFmtId="2" fontId="86" fillId="9" borderId="11" xfId="0" applyNumberFormat="1" applyFont="1" applyFill="1" applyBorder="1" applyAlignment="1" applyProtection="1">
      <alignment horizontal="center" vertical="center" wrapText="1"/>
    </xf>
    <xf numFmtId="0" fontId="87" fillId="9" borderId="0" xfId="0" applyFont="1" applyFill="1" applyProtection="1"/>
    <xf numFmtId="0" fontId="78" fillId="9" borderId="0" xfId="0" applyFont="1" applyFill="1" applyAlignment="1" applyProtection="1">
      <alignment horizontal="center"/>
    </xf>
    <xf numFmtId="0" fontId="20" fillId="9" borderId="0" xfId="0" applyFont="1" applyFill="1" applyProtection="1"/>
    <xf numFmtId="0" fontId="82" fillId="9" borderId="0" xfId="0" applyFont="1" applyFill="1" applyBorder="1" applyProtection="1"/>
    <xf numFmtId="0" fontId="5" fillId="9" borderId="0" xfId="0" applyFont="1" applyFill="1" applyAlignment="1" applyProtection="1"/>
    <xf numFmtId="0" fontId="0" fillId="9" borderId="0" xfId="0" applyFill="1" applyAlignment="1" applyProtection="1"/>
    <xf numFmtId="164" fontId="24" fillId="9" borderId="0" xfId="0" applyNumberFormat="1" applyFont="1" applyFill="1" applyBorder="1" applyAlignment="1" applyProtection="1">
      <alignment horizontal="center" vertical="center"/>
    </xf>
    <xf numFmtId="164" fontId="9" fillId="9" borderId="0" xfId="0" applyNumberFormat="1" applyFont="1" applyFill="1" applyBorder="1" applyAlignment="1" applyProtection="1">
      <alignment horizontal="center"/>
    </xf>
    <xf numFmtId="0" fontId="111" fillId="9" borderId="0" xfId="0" applyFont="1" applyFill="1" applyBorder="1" applyAlignment="1" applyProtection="1"/>
    <xf numFmtId="164" fontId="16" fillId="9" borderId="0" xfId="0" applyNumberFormat="1" applyFont="1" applyFill="1" applyAlignment="1" applyProtection="1">
      <alignment vertical="center"/>
    </xf>
    <xf numFmtId="165" fontId="2" fillId="9" borderId="0" xfId="0" applyNumberFormat="1" applyFont="1" applyFill="1" applyAlignment="1" applyProtection="1">
      <alignment vertical="center"/>
    </xf>
    <xf numFmtId="0" fontId="12" fillId="9" borderId="0" xfId="0" applyFont="1" applyFill="1" applyBorder="1" applyProtection="1"/>
    <xf numFmtId="0" fontId="0" fillId="9" borderId="26" xfId="0" applyFill="1" applyBorder="1" applyProtection="1"/>
    <xf numFmtId="0" fontId="30" fillId="9" borderId="27" xfId="0" applyFont="1" applyFill="1" applyBorder="1" applyProtection="1"/>
    <xf numFmtId="0" fontId="12" fillId="9" borderId="27" xfId="0" applyFont="1" applyFill="1" applyBorder="1" applyProtection="1"/>
    <xf numFmtId="165" fontId="22" fillId="9" borderId="27" xfId="0" applyNumberFormat="1" applyFont="1" applyFill="1" applyBorder="1" applyProtection="1"/>
    <xf numFmtId="0" fontId="0" fillId="9" borderId="27" xfId="0" applyFill="1" applyBorder="1" applyAlignment="1" applyProtection="1"/>
    <xf numFmtId="0" fontId="111" fillId="9" borderId="27" xfId="0" applyFont="1" applyFill="1" applyBorder="1" applyAlignment="1" applyProtection="1"/>
    <xf numFmtId="0" fontId="128" fillId="9" borderId="27" xfId="0" applyFont="1" applyFill="1" applyBorder="1" applyProtection="1"/>
    <xf numFmtId="0" fontId="128" fillId="9" borderId="27" xfId="0" applyFont="1" applyFill="1" applyBorder="1" applyAlignment="1" applyProtection="1">
      <alignment horizontal="left"/>
    </xf>
    <xf numFmtId="0" fontId="1" fillId="9" borderId="27" xfId="0" applyFont="1" applyFill="1" applyBorder="1" applyProtection="1"/>
    <xf numFmtId="0" fontId="5" fillId="9" borderId="27" xfId="0" applyFont="1" applyFill="1" applyBorder="1" applyProtection="1"/>
    <xf numFmtId="0" fontId="111" fillId="9" borderId="27" xfId="0" applyFont="1" applyFill="1" applyBorder="1" applyProtection="1"/>
    <xf numFmtId="0" fontId="0" fillId="9" borderId="27" xfId="0" applyFill="1" applyBorder="1" applyProtection="1"/>
    <xf numFmtId="0" fontId="30" fillId="9" borderId="0" xfId="0" applyFont="1" applyFill="1" applyBorder="1" applyProtection="1"/>
    <xf numFmtId="165" fontId="22" fillId="9" borderId="0" xfId="0" applyNumberFormat="1" applyFont="1" applyFill="1" applyBorder="1" applyProtection="1"/>
    <xf numFmtId="165" fontId="22" fillId="9" borderId="0" xfId="0" applyNumberFormat="1" applyFont="1" applyFill="1" applyBorder="1" applyAlignment="1" applyProtection="1">
      <alignment horizontal="center"/>
    </xf>
    <xf numFmtId="0" fontId="19" fillId="9" borderId="0" xfId="0" applyFont="1" applyFill="1" applyProtection="1"/>
    <xf numFmtId="0" fontId="40" fillId="9" borderId="0" xfId="0" applyFont="1" applyFill="1" applyProtection="1"/>
    <xf numFmtId="0" fontId="111" fillId="9" borderId="0" xfId="0" applyFont="1" applyFill="1" applyBorder="1" applyAlignment="1" applyProtection="1">
      <alignment horizontal="center" vertical="center" wrapText="1"/>
      <protection locked="0"/>
    </xf>
    <xf numFmtId="0" fontId="21" fillId="9" borderId="20" xfId="0" applyFont="1" applyFill="1" applyBorder="1" applyProtection="1"/>
    <xf numFmtId="0" fontId="14" fillId="9" borderId="28" xfId="0" applyFont="1" applyFill="1" applyBorder="1" applyProtection="1"/>
    <xf numFmtId="0" fontId="12" fillId="9" borderId="20" xfId="0" applyFont="1" applyFill="1" applyBorder="1" applyProtection="1"/>
    <xf numFmtId="0" fontId="4" fillId="9" borderId="28" xfId="0" applyFont="1" applyFill="1" applyBorder="1" applyAlignment="1" applyProtection="1">
      <alignment horizontal="center"/>
    </xf>
    <xf numFmtId="0" fontId="89" fillId="9" borderId="0" xfId="0" applyFont="1" applyFill="1" applyBorder="1" applyProtection="1"/>
    <xf numFmtId="0" fontId="17" fillId="9" borderId="0" xfId="0" applyFont="1" applyFill="1" applyBorder="1" applyProtection="1"/>
    <xf numFmtId="0" fontId="0" fillId="9" borderId="0" xfId="0" applyFill="1" applyBorder="1" applyAlignment="1" applyProtection="1">
      <alignment horizontal="left"/>
    </xf>
    <xf numFmtId="49" fontId="4" fillId="9" borderId="0" xfId="0" applyNumberFormat="1" applyFont="1" applyFill="1" applyBorder="1" applyAlignment="1" applyProtection="1">
      <alignment horizontal="left"/>
    </xf>
    <xf numFmtId="2" fontId="4" fillId="9" borderId="0" xfId="0" applyNumberFormat="1" applyFont="1" applyFill="1" applyBorder="1" applyAlignment="1" applyProtection="1">
      <alignment horizontal="left"/>
    </xf>
    <xf numFmtId="49" fontId="0" fillId="9" borderId="0" xfId="0" applyNumberFormat="1" applyFill="1" applyProtection="1"/>
    <xf numFmtId="0" fontId="0" fillId="9" borderId="18" xfId="0" applyFill="1" applyBorder="1" applyAlignment="1" applyProtection="1">
      <alignment horizontal="center" vertical="center" textRotation="90" wrapText="1"/>
    </xf>
    <xf numFmtId="15" fontId="79" fillId="9" borderId="0" xfId="0" applyNumberFormat="1" applyFont="1" applyFill="1" applyAlignment="1" applyProtection="1">
      <alignment horizontal="center" vertical="center" textRotation="90" wrapText="1"/>
    </xf>
    <xf numFmtId="0" fontId="30" fillId="9" borderId="0" xfId="0" applyFont="1" applyFill="1" applyAlignment="1" applyProtection="1">
      <alignment horizontal="left" wrapText="1"/>
    </xf>
    <xf numFmtId="0" fontId="0" fillId="9" borderId="0" xfId="0" applyFill="1" applyAlignment="1" applyProtection="1">
      <alignment horizontal="center" vertical="center" textRotation="90" wrapText="1"/>
    </xf>
    <xf numFmtId="0" fontId="47" fillId="9" borderId="0" xfId="0" applyFont="1" applyFill="1" applyAlignment="1" applyProtection="1">
      <alignment horizontal="left" textRotation="90" wrapText="1"/>
    </xf>
    <xf numFmtId="0" fontId="60" fillId="9" borderId="0" xfId="0" applyFont="1" applyFill="1" applyAlignment="1" applyProtection="1">
      <alignment horizontal="left" textRotation="90" wrapText="1"/>
    </xf>
    <xf numFmtId="0" fontId="9" fillId="9" borderId="0" xfId="0" applyFont="1" applyFill="1" applyAlignment="1" applyProtection="1">
      <alignment horizontal="center" wrapText="1"/>
    </xf>
    <xf numFmtId="0" fontId="111" fillId="9" borderId="0" xfId="0" applyFont="1" applyFill="1" applyBorder="1" applyAlignment="1" applyProtection="1">
      <alignment horizontal="center" vertical="center" textRotation="90" wrapText="1"/>
    </xf>
    <xf numFmtId="0" fontId="128" fillId="9" borderId="0" xfId="0" applyFont="1" applyFill="1" applyBorder="1" applyAlignment="1" applyProtection="1">
      <alignment horizontal="center" vertical="center" textRotation="90" wrapText="1"/>
    </xf>
    <xf numFmtId="0" fontId="5" fillId="9" borderId="0" xfId="0" applyFont="1" applyFill="1" applyBorder="1" applyAlignment="1" applyProtection="1">
      <alignment horizontal="center" vertical="center" textRotation="90" wrapText="1"/>
    </xf>
    <xf numFmtId="0" fontId="0" fillId="9" borderId="0" xfId="0" applyFill="1" applyAlignment="1" applyProtection="1">
      <alignment horizontal="center" textRotation="90" wrapText="1"/>
    </xf>
    <xf numFmtId="0" fontId="13" fillId="9" borderId="0" xfId="0" applyFont="1" applyFill="1" applyAlignment="1" applyProtection="1">
      <alignment textRotation="90"/>
    </xf>
    <xf numFmtId="0" fontId="8" fillId="9" borderId="0" xfId="0" applyFont="1" applyFill="1" applyAlignment="1" applyProtection="1">
      <alignment horizontal="center"/>
    </xf>
    <xf numFmtId="49" fontId="8" fillId="9" borderId="0" xfId="0" applyNumberFormat="1" applyFont="1" applyFill="1" applyAlignment="1" applyProtection="1">
      <alignment horizontal="center" textRotation="90"/>
    </xf>
    <xf numFmtId="2" fontId="8" fillId="9" borderId="0" xfId="0" applyNumberFormat="1" applyFont="1" applyFill="1" applyAlignment="1" applyProtection="1">
      <alignment horizontal="center"/>
    </xf>
    <xf numFmtId="0" fontId="8" fillId="9" borderId="0" xfId="0" quotePrefix="1" applyFont="1" applyFill="1" applyAlignment="1" applyProtection="1">
      <alignment horizontal="center"/>
    </xf>
    <xf numFmtId="0" fontId="47" fillId="9" borderId="0" xfId="0" applyFont="1" applyFill="1" applyProtection="1"/>
    <xf numFmtId="0" fontId="13" fillId="9" borderId="0" xfId="0" applyFont="1" applyFill="1" applyAlignment="1" applyProtection="1">
      <alignment textRotation="90" wrapText="1"/>
    </xf>
    <xf numFmtId="0" fontId="81" fillId="9" borderId="0" xfId="0" applyFont="1" applyFill="1" applyAlignment="1" applyProtection="1">
      <alignment textRotation="90" wrapText="1"/>
    </xf>
    <xf numFmtId="0" fontId="110" fillId="9" borderId="0" xfId="0" applyFont="1" applyFill="1" applyBorder="1" applyAlignment="1" applyProtection="1">
      <alignment textRotation="90" wrapText="1"/>
    </xf>
    <xf numFmtId="164" fontId="111" fillId="9" borderId="0" xfId="0" applyNumberFormat="1" applyFont="1" applyFill="1" applyBorder="1" applyAlignment="1" applyProtection="1">
      <alignment wrapText="1"/>
    </xf>
    <xf numFmtId="0" fontId="5" fillId="9" borderId="0" xfId="0" applyFont="1" applyFill="1" applyBorder="1" applyAlignment="1" applyProtection="1">
      <alignment textRotation="90"/>
    </xf>
    <xf numFmtId="0" fontId="19" fillId="9" borderId="0" xfId="0" applyFont="1" applyFill="1" applyAlignment="1" applyProtection="1">
      <alignment horizontal="center"/>
    </xf>
    <xf numFmtId="0" fontId="26" fillId="9" borderId="0" xfId="0" applyFont="1" applyFill="1" applyBorder="1" applyProtection="1"/>
    <xf numFmtId="2" fontId="14" fillId="9" borderId="13" xfId="0" applyNumberFormat="1" applyFont="1" applyFill="1" applyBorder="1" applyProtection="1"/>
    <xf numFmtId="164" fontId="111" fillId="9" borderId="0" xfId="0" applyNumberFormat="1" applyFont="1" applyFill="1" applyBorder="1" applyProtection="1"/>
    <xf numFmtId="0" fontId="124" fillId="9" borderId="0" xfId="0" applyFont="1" applyFill="1" applyBorder="1" applyProtection="1"/>
    <xf numFmtId="0" fontId="0" fillId="9" borderId="28" xfId="0" applyFill="1" applyBorder="1" applyProtection="1"/>
    <xf numFmtId="0" fontId="0" fillId="7" borderId="0" xfId="0" applyFill="1" applyProtection="1"/>
    <xf numFmtId="0" fontId="14" fillId="10" borderId="2" xfId="0" applyFont="1" applyFill="1" applyBorder="1" applyProtection="1"/>
    <xf numFmtId="0" fontId="14" fillId="10" borderId="2" xfId="0" applyFont="1" applyFill="1" applyBorder="1" applyAlignment="1" applyProtection="1">
      <alignment horizontal="center" wrapText="1"/>
    </xf>
    <xf numFmtId="0" fontId="135" fillId="10" borderId="2" xfId="0" applyFont="1" applyFill="1" applyBorder="1" applyProtection="1"/>
    <xf numFmtId="0" fontId="4" fillId="7" borderId="2" xfId="0" applyFont="1" applyFill="1" applyBorder="1" applyAlignment="1" applyProtection="1">
      <alignment horizontal="center"/>
    </xf>
    <xf numFmtId="0" fontId="90" fillId="7" borderId="2" xfId="0" applyFont="1" applyFill="1" applyBorder="1" applyAlignment="1" applyProtection="1">
      <alignment horizontal="center"/>
    </xf>
    <xf numFmtId="2" fontId="3" fillId="7" borderId="2" xfId="0" applyNumberFormat="1" applyFont="1" applyFill="1" applyBorder="1" applyAlignment="1" applyProtection="1">
      <alignment horizontal="center"/>
    </xf>
    <xf numFmtId="2" fontId="86" fillId="7" borderId="11" xfId="0" applyNumberFormat="1" applyFont="1" applyFill="1" applyBorder="1" applyAlignment="1" applyProtection="1">
      <alignment horizontal="center" vertical="center" wrapText="1"/>
      <protection locked="0"/>
    </xf>
    <xf numFmtId="2" fontId="86" fillId="7" borderId="11" xfId="0" applyNumberFormat="1" applyFont="1" applyFill="1" applyBorder="1" applyAlignment="1" applyProtection="1">
      <alignment horizontal="center" vertical="center" wrapText="1"/>
    </xf>
    <xf numFmtId="0" fontId="37" fillId="9" borderId="0" xfId="0" applyFont="1" applyFill="1" applyBorder="1" applyProtection="1"/>
    <xf numFmtId="0" fontId="25" fillId="9" borderId="0" xfId="0" applyFont="1" applyFill="1" applyProtection="1"/>
    <xf numFmtId="0" fontId="13" fillId="9" borderId="0" xfId="0" applyFont="1" applyFill="1" applyAlignment="1" applyProtection="1">
      <alignment horizontal="right"/>
    </xf>
    <xf numFmtId="0" fontId="44" fillId="9" borderId="0" xfId="0" applyFont="1" applyFill="1" applyBorder="1" applyAlignment="1" applyProtection="1">
      <alignment horizontal="center"/>
    </xf>
    <xf numFmtId="49" fontId="28" fillId="9" borderId="0" xfId="0" applyNumberFormat="1" applyFont="1" applyFill="1" applyProtection="1"/>
    <xf numFmtId="0" fontId="33" fillId="9" borderId="0" xfId="0" applyFont="1" applyFill="1" applyBorder="1" applyProtection="1"/>
    <xf numFmtId="0" fontId="12" fillId="9" borderId="0" xfId="0" applyFont="1" applyFill="1" applyProtection="1"/>
    <xf numFmtId="0" fontId="12" fillId="9" borderId="2" xfId="0" applyFont="1" applyFill="1" applyBorder="1" applyProtection="1"/>
    <xf numFmtId="0" fontId="13" fillId="9" borderId="2" xfId="0" applyFont="1" applyFill="1" applyBorder="1" applyProtection="1"/>
    <xf numFmtId="0" fontId="54" fillId="9" borderId="0" xfId="0" applyFont="1" applyFill="1" applyProtection="1"/>
    <xf numFmtId="0" fontId="17" fillId="9" borderId="0" xfId="0" applyFont="1" applyFill="1" applyProtection="1"/>
    <xf numFmtId="0" fontId="36" fillId="9" borderId="2" xfId="0" applyFont="1" applyFill="1" applyBorder="1" applyProtection="1"/>
    <xf numFmtId="0" fontId="33" fillId="9" borderId="0" xfId="0" applyFont="1" applyFill="1" applyBorder="1" applyAlignment="1" applyProtection="1">
      <alignment horizontal="center"/>
    </xf>
    <xf numFmtId="0" fontId="16" fillId="9" borderId="0" xfId="0" applyFont="1" applyFill="1" applyAlignment="1" applyProtection="1">
      <alignment horizontal="right"/>
    </xf>
    <xf numFmtId="2" fontId="28" fillId="9" borderId="0" xfId="0" applyNumberFormat="1" applyFont="1" applyFill="1" applyBorder="1" applyAlignment="1" applyProtection="1">
      <alignment horizontal="center" vertical="center" wrapText="1"/>
    </xf>
    <xf numFmtId="2" fontId="1" fillId="9" borderId="0" xfId="0" applyNumberFormat="1" applyFont="1" applyFill="1" applyBorder="1" applyAlignment="1" applyProtection="1">
      <alignment horizontal="center" vertical="center" wrapText="1"/>
    </xf>
    <xf numFmtId="0" fontId="4" fillId="9" borderId="0" xfId="0" applyFont="1" applyFill="1" applyBorder="1" applyAlignment="1" applyProtection="1">
      <alignment horizontal="center"/>
    </xf>
    <xf numFmtId="164" fontId="4" fillId="9" borderId="0" xfId="0" applyNumberFormat="1" applyFont="1" applyFill="1" applyBorder="1" applyAlignment="1" applyProtection="1">
      <alignment horizontal="center"/>
      <protection locked="0"/>
    </xf>
    <xf numFmtId="1" fontId="28" fillId="9" borderId="0" xfId="0" applyNumberFormat="1" applyFont="1" applyFill="1" applyBorder="1" applyProtection="1"/>
    <xf numFmtId="0" fontId="21" fillId="9" borderId="0" xfId="0" applyFont="1" applyFill="1" applyProtection="1"/>
    <xf numFmtId="164" fontId="28" fillId="9" borderId="0" xfId="0" applyNumberFormat="1" applyFont="1" applyFill="1" applyBorder="1" applyProtection="1"/>
    <xf numFmtId="0" fontId="41" fillId="9" borderId="0" xfId="0" applyFont="1" applyFill="1" applyProtection="1"/>
    <xf numFmtId="0" fontId="13" fillId="9" borderId="0" xfId="0" applyFont="1" applyFill="1" applyBorder="1" applyAlignment="1" applyProtection="1">
      <alignment horizontal="center"/>
    </xf>
    <xf numFmtId="0" fontId="85" fillId="9" borderId="0" xfId="0" applyFont="1" applyFill="1" applyBorder="1" applyAlignment="1" applyProtection="1">
      <alignment horizontal="center"/>
    </xf>
    <xf numFmtId="0" fontId="84" fillId="9" borderId="0" xfId="0" applyFont="1" applyFill="1" applyProtection="1"/>
    <xf numFmtId="0" fontId="84" fillId="9" borderId="0" xfId="0" applyFont="1" applyFill="1" applyBorder="1" applyProtection="1"/>
    <xf numFmtId="0" fontId="0" fillId="9" borderId="0" xfId="0" applyFill="1" applyBorder="1" applyAlignment="1" applyProtection="1">
      <alignment horizontal="right" wrapText="1"/>
    </xf>
    <xf numFmtId="0" fontId="0" fillId="9" borderId="0" xfId="0" applyFill="1" applyBorder="1" applyAlignment="1" applyProtection="1">
      <alignment horizontal="left" vertical="top" wrapText="1"/>
    </xf>
    <xf numFmtId="0" fontId="1" fillId="9" borderId="0" xfId="0" applyFont="1" applyFill="1" applyBorder="1" applyAlignment="1" applyProtection="1">
      <alignment horizontal="right"/>
    </xf>
    <xf numFmtId="0" fontId="50" fillId="9" borderId="0" xfId="0" applyFont="1" applyFill="1" applyBorder="1" applyAlignment="1" applyProtection="1">
      <alignment horizontal="center" vertical="center" wrapText="1"/>
    </xf>
    <xf numFmtId="0" fontId="0" fillId="9" borderId="14" xfId="0" applyFill="1" applyBorder="1" applyProtection="1"/>
    <xf numFmtId="0" fontId="59" fillId="10" borderId="2" xfId="0" applyFont="1" applyFill="1" applyBorder="1" applyAlignment="1" applyProtection="1">
      <alignment horizontal="left" textRotation="90" wrapText="1"/>
    </xf>
    <xf numFmtId="0" fontId="59" fillId="10" borderId="11" xfId="0" applyFont="1" applyFill="1" applyBorder="1" applyAlignment="1" applyProtection="1">
      <alignment horizontal="left" textRotation="90" wrapText="1"/>
    </xf>
    <xf numFmtId="2" fontId="13" fillId="7" borderId="2" xfId="0" applyNumberFormat="1" applyFont="1" applyFill="1" applyBorder="1" applyProtection="1"/>
    <xf numFmtId="0" fontId="0" fillId="7" borderId="2" xfId="0" applyFill="1" applyBorder="1" applyProtection="1">
      <protection locked="0"/>
    </xf>
    <xf numFmtId="2" fontId="0" fillId="7" borderId="2" xfId="0" applyNumberFormat="1" applyFill="1" applyBorder="1" applyProtection="1">
      <protection locked="0"/>
    </xf>
    <xf numFmtId="0" fontId="0" fillId="7" borderId="2" xfId="0" applyFill="1" applyBorder="1" applyProtection="1"/>
    <xf numFmtId="2" fontId="0" fillId="7" borderId="2" xfId="0" applyNumberFormat="1" applyFill="1" applyBorder="1" applyProtection="1"/>
    <xf numFmtId="0" fontId="4" fillId="7" borderId="2" xfId="0" applyFont="1" applyFill="1" applyBorder="1" applyAlignment="1" applyProtection="1">
      <alignment horizontal="center"/>
      <protection locked="0"/>
    </xf>
    <xf numFmtId="3" fontId="4" fillId="7" borderId="2" xfId="0" applyNumberFormat="1" applyFont="1" applyFill="1" applyBorder="1" applyAlignment="1" applyProtection="1">
      <alignment horizontal="center"/>
      <protection locked="0"/>
    </xf>
    <xf numFmtId="0" fontId="13" fillId="7" borderId="2" xfId="0" applyFont="1" applyFill="1" applyBorder="1" applyAlignment="1" applyProtection="1">
      <alignment vertical="justify" wrapText="1"/>
      <protection locked="0"/>
    </xf>
    <xf numFmtId="0" fontId="13" fillId="7" borderId="11" xfId="0" applyFont="1" applyFill="1" applyBorder="1" applyAlignment="1" applyProtection="1">
      <alignment horizontal="center"/>
      <protection locked="0"/>
    </xf>
    <xf numFmtId="0" fontId="136" fillId="9" borderId="0" xfId="0" applyFont="1" applyFill="1" applyBorder="1" applyProtection="1"/>
    <xf numFmtId="0" fontId="137" fillId="9" borderId="0" xfId="0" applyFont="1" applyFill="1" applyProtection="1"/>
    <xf numFmtId="0" fontId="138" fillId="9" borderId="0" xfId="0" applyFont="1" applyFill="1" applyBorder="1" applyProtection="1"/>
    <xf numFmtId="0" fontId="139" fillId="9" borderId="0" xfId="0" applyFont="1" applyFill="1" applyProtection="1"/>
    <xf numFmtId="0" fontId="133" fillId="7" borderId="2" xfId="0" applyFont="1" applyFill="1" applyBorder="1" applyProtection="1">
      <protection locked="0"/>
    </xf>
    <xf numFmtId="0" fontId="140" fillId="9" borderId="0" xfId="0" applyFont="1" applyFill="1" applyAlignment="1" applyProtection="1">
      <alignment wrapText="1"/>
    </xf>
    <xf numFmtId="0" fontId="141" fillId="9" borderId="0" xfId="0" applyFont="1" applyFill="1" applyAlignment="1" applyProtection="1">
      <alignment wrapText="1"/>
    </xf>
    <xf numFmtId="0" fontId="142" fillId="9" borderId="0" xfId="0" applyFont="1" applyFill="1" applyProtection="1"/>
    <xf numFmtId="0" fontId="142" fillId="9" borderId="0" xfId="0" applyFont="1" applyFill="1" applyAlignment="1" applyProtection="1">
      <alignment horizontal="right"/>
    </xf>
    <xf numFmtId="49" fontId="143" fillId="9" borderId="0" xfId="0" applyNumberFormat="1" applyFont="1" applyFill="1" applyBorder="1" applyAlignment="1" applyProtection="1">
      <alignment horizontal="center"/>
    </xf>
    <xf numFmtId="0" fontId="1" fillId="9" borderId="0" xfId="0" applyFont="1" applyFill="1" applyAlignment="1" applyProtection="1"/>
    <xf numFmtId="0" fontId="142" fillId="9" borderId="0" xfId="0" applyFont="1" applyFill="1" applyBorder="1" applyProtection="1"/>
    <xf numFmtId="0" fontId="144" fillId="9" borderId="0" xfId="0" applyFont="1" applyFill="1" applyBorder="1" applyProtection="1"/>
    <xf numFmtId="0" fontId="142" fillId="9" borderId="0" xfId="0" applyFont="1" applyFill="1" applyBorder="1" applyAlignment="1" applyProtection="1">
      <alignment horizontal="right"/>
    </xf>
    <xf numFmtId="0" fontId="142" fillId="9" borderId="0" xfId="0" applyFont="1" applyFill="1" applyBorder="1" applyAlignment="1" applyProtection="1">
      <alignment horizontal="center" vertical="center"/>
      <protection locked="0"/>
    </xf>
    <xf numFmtId="0" fontId="142" fillId="9" borderId="0" xfId="0" applyFont="1" applyFill="1" applyBorder="1" applyAlignment="1" applyProtection="1">
      <alignment horizontal="center"/>
      <protection locked="0"/>
    </xf>
    <xf numFmtId="2" fontId="142" fillId="9" borderId="0" xfId="0" applyNumberFormat="1" applyFont="1" applyFill="1" applyBorder="1" applyAlignment="1" applyProtection="1">
      <alignment horizontal="left"/>
    </xf>
    <xf numFmtId="2" fontId="34" fillId="9" borderId="0" xfId="0" applyNumberFormat="1" applyFont="1" applyFill="1" applyBorder="1" applyAlignment="1" applyProtection="1">
      <alignment horizontal="left"/>
    </xf>
    <xf numFmtId="0" fontId="142" fillId="9" borderId="0" xfId="0" applyFont="1" applyFill="1" applyBorder="1" applyAlignment="1" applyProtection="1">
      <alignment horizontal="left"/>
    </xf>
    <xf numFmtId="2" fontId="128" fillId="7" borderId="2" xfId="0" applyNumberFormat="1" applyFont="1" applyFill="1" applyBorder="1" applyAlignment="1" applyProtection="1">
      <alignment horizontal="center" vertical="center"/>
    </xf>
    <xf numFmtId="2" fontId="1" fillId="7" borderId="2" xfId="0" applyNumberFormat="1" applyFont="1" applyFill="1" applyBorder="1" applyAlignment="1" applyProtection="1">
      <alignment horizontal="center" vertical="center"/>
    </xf>
    <xf numFmtId="2" fontId="5" fillId="7" borderId="2" xfId="0" applyNumberFormat="1" applyFont="1" applyFill="1" applyBorder="1" applyAlignment="1" applyProtection="1">
      <alignment horizontal="center" vertical="center"/>
    </xf>
    <xf numFmtId="0" fontId="145" fillId="7" borderId="15" xfId="0" applyFont="1" applyFill="1" applyBorder="1" applyAlignment="1" applyProtection="1">
      <alignment textRotation="90" wrapText="1"/>
    </xf>
    <xf numFmtId="0" fontId="146" fillId="7" borderId="15" xfId="0" applyFont="1" applyFill="1" applyBorder="1" applyAlignment="1" applyProtection="1">
      <alignment textRotation="90" wrapText="1"/>
    </xf>
    <xf numFmtId="2" fontId="13" fillId="7" borderId="2" xfId="0" applyNumberFormat="1" applyFont="1" applyFill="1" applyBorder="1" applyAlignment="1" applyProtection="1">
      <alignment horizontal="center" vertical="center"/>
    </xf>
    <xf numFmtId="2" fontId="126" fillId="7" borderId="2" xfId="0" applyNumberFormat="1" applyFont="1" applyFill="1" applyBorder="1" applyAlignment="1" applyProtection="1">
      <alignment horizontal="center" vertical="center"/>
    </xf>
    <xf numFmtId="0" fontId="13" fillId="7" borderId="2" xfId="0" applyFont="1" applyFill="1" applyBorder="1" applyProtection="1"/>
    <xf numFmtId="2" fontId="5" fillId="9" borderId="0" xfId="0" applyNumberFormat="1" applyFont="1" applyFill="1" applyBorder="1" applyProtection="1"/>
    <xf numFmtId="0" fontId="147" fillId="7" borderId="15" xfId="0" applyFont="1" applyFill="1" applyBorder="1" applyAlignment="1" applyProtection="1">
      <alignment textRotation="90" wrapText="1"/>
    </xf>
    <xf numFmtId="164" fontId="5" fillId="7" borderId="2" xfId="0" applyNumberFormat="1" applyFont="1" applyFill="1" applyBorder="1" applyProtection="1"/>
    <xf numFmtId="0" fontId="5" fillId="7" borderId="2" xfId="0" applyFont="1" applyFill="1" applyBorder="1" applyProtection="1"/>
    <xf numFmtId="0" fontId="111" fillId="7" borderId="2" xfId="0" applyFont="1" applyFill="1" applyBorder="1" applyProtection="1"/>
    <xf numFmtId="0" fontId="124" fillId="7" borderId="2" xfId="0" applyFont="1" applyFill="1" applyBorder="1" applyProtection="1"/>
    <xf numFmtId="0" fontId="126" fillId="7" borderId="2" xfId="0" applyFont="1" applyFill="1" applyBorder="1" applyProtection="1"/>
    <xf numFmtId="0" fontId="1" fillId="7" borderId="2" xfId="0" applyFont="1" applyFill="1" applyBorder="1" applyProtection="1"/>
    <xf numFmtId="0" fontId="148" fillId="7" borderId="2" xfId="0" applyFont="1" applyFill="1" applyBorder="1" applyAlignment="1" applyProtection="1">
      <alignment horizontal="center"/>
      <protection locked="0"/>
    </xf>
    <xf numFmtId="0" fontId="106" fillId="10" borderId="11" xfId="0" applyFont="1" applyFill="1" applyBorder="1" applyAlignment="1" applyProtection="1">
      <alignment horizontal="left" textRotation="90" wrapText="1"/>
    </xf>
    <xf numFmtId="0" fontId="149" fillId="9" borderId="0" xfId="0" applyFont="1" applyFill="1" applyBorder="1" applyProtection="1"/>
    <xf numFmtId="0" fontId="4" fillId="9" borderId="0" xfId="0" applyFont="1" applyFill="1" applyBorder="1" applyAlignment="1" applyProtection="1">
      <alignment horizontal="left"/>
    </xf>
    <xf numFmtId="2" fontId="3" fillId="9" borderId="0" xfId="0" applyNumberFormat="1" applyFont="1" applyFill="1" applyBorder="1" applyAlignment="1" applyProtection="1">
      <alignment horizontal="center"/>
    </xf>
    <xf numFmtId="2" fontId="150" fillId="7" borderId="11" xfId="0" applyNumberFormat="1" applyFont="1" applyFill="1" applyBorder="1" applyAlignment="1" applyProtection="1">
      <alignment horizontal="center" vertical="center" wrapText="1"/>
    </xf>
    <xf numFmtId="0" fontId="133" fillId="9" borderId="0" xfId="0" applyFont="1" applyFill="1" applyBorder="1" applyAlignment="1" applyProtection="1">
      <alignment wrapText="1"/>
    </xf>
    <xf numFmtId="0" fontId="133" fillId="9" borderId="0" xfId="0" applyFont="1" applyFill="1" applyBorder="1" applyAlignment="1" applyProtection="1">
      <alignment horizontal="center" wrapText="1"/>
    </xf>
    <xf numFmtId="0" fontId="133" fillId="9" borderId="0" xfId="0" applyFont="1" applyFill="1" applyAlignment="1" applyProtection="1">
      <alignment wrapText="1"/>
    </xf>
    <xf numFmtId="0" fontId="151" fillId="9" borderId="0" xfId="0" applyFont="1" applyFill="1" applyBorder="1" applyAlignment="1" applyProtection="1">
      <alignment horizontal="center" wrapText="1"/>
    </xf>
    <xf numFmtId="0" fontId="151" fillId="9" borderId="0" xfId="0" applyFont="1" applyFill="1" applyBorder="1" applyAlignment="1" applyProtection="1">
      <alignment wrapText="1"/>
    </xf>
    <xf numFmtId="0" fontId="128" fillId="9" borderId="0" xfId="0" applyFont="1" applyFill="1" applyBorder="1" applyAlignment="1" applyProtection="1">
      <alignment wrapText="1"/>
    </xf>
    <xf numFmtId="0" fontId="152" fillId="9" borderId="0" xfId="0" applyFont="1" applyFill="1" applyBorder="1" applyAlignment="1" applyProtection="1">
      <alignment horizontal="left" wrapText="1"/>
    </xf>
    <xf numFmtId="0" fontId="152" fillId="9" borderId="0" xfId="0" applyFont="1" applyFill="1" applyBorder="1" applyAlignment="1" applyProtection="1">
      <alignment horizontal="center" wrapText="1"/>
    </xf>
    <xf numFmtId="0" fontId="152" fillId="9" borderId="0" xfId="0" applyFont="1" applyFill="1" applyBorder="1" applyAlignment="1" applyProtection="1">
      <alignment wrapText="1"/>
    </xf>
    <xf numFmtId="0" fontId="128" fillId="9" borderId="0" xfId="0" applyFont="1" applyFill="1" applyAlignment="1" applyProtection="1">
      <alignment wrapText="1"/>
    </xf>
    <xf numFmtId="164" fontId="152" fillId="9" borderId="0" xfId="0" applyNumberFormat="1" applyFont="1" applyFill="1" applyBorder="1" applyAlignment="1" applyProtection="1">
      <alignment wrapText="1"/>
    </xf>
    <xf numFmtId="0" fontId="128" fillId="9" borderId="0" xfId="0" applyFont="1" applyFill="1" applyBorder="1" applyAlignment="1" applyProtection="1">
      <alignment horizontal="center" wrapText="1"/>
    </xf>
    <xf numFmtId="0" fontId="19" fillId="9" borderId="0" xfId="0" applyFont="1" applyFill="1" applyAlignment="1" applyProtection="1">
      <alignment horizontal="center"/>
    </xf>
    <xf numFmtId="0" fontId="1" fillId="7" borderId="2" xfId="0" applyFont="1" applyFill="1" applyBorder="1" applyAlignment="1" applyProtection="1">
      <alignment horizontal="center"/>
      <protection locked="0"/>
    </xf>
    <xf numFmtId="0" fontId="0" fillId="9" borderId="0" xfId="0" applyFill="1" applyBorder="1" applyAlignment="1" applyProtection="1">
      <alignment horizontal="right"/>
    </xf>
    <xf numFmtId="0" fontId="4" fillId="9" borderId="0" xfId="0" applyFont="1" applyFill="1" applyBorder="1" applyAlignment="1" applyProtection="1">
      <alignment horizontal="center"/>
    </xf>
    <xf numFmtId="0" fontId="153" fillId="7" borderId="15" xfId="0" applyFont="1" applyFill="1" applyBorder="1" applyAlignment="1" applyProtection="1">
      <alignment horizontal="left" textRotation="90" wrapText="1"/>
    </xf>
    <xf numFmtId="0" fontId="133" fillId="7" borderId="2" xfId="0" applyFont="1" applyFill="1" applyBorder="1" applyAlignment="1" applyProtection="1">
      <alignment horizontal="left" textRotation="90"/>
    </xf>
    <xf numFmtId="0" fontId="154" fillId="7" borderId="2" xfId="0" applyFont="1" applyFill="1" applyBorder="1" applyAlignment="1" applyProtection="1">
      <alignment horizontal="left" textRotation="90" wrapText="1"/>
    </xf>
    <xf numFmtId="0" fontId="0" fillId="9" borderId="13" xfId="0" applyFill="1" applyBorder="1" applyProtection="1">
      <protection locked="0"/>
    </xf>
    <xf numFmtId="0" fontId="59" fillId="10" borderId="12" xfId="0" applyFont="1" applyFill="1" applyBorder="1" applyAlignment="1" applyProtection="1">
      <alignment horizontal="left" textRotation="90" wrapText="1"/>
    </xf>
    <xf numFmtId="49" fontId="59" fillId="10" borderId="2" xfId="0" applyNumberFormat="1" applyFont="1" applyFill="1" applyBorder="1" applyAlignment="1" applyProtection="1">
      <alignment horizontal="left" textRotation="90" wrapText="1"/>
    </xf>
    <xf numFmtId="164" fontId="0" fillId="7" borderId="2" xfId="0" applyNumberFormat="1" applyFill="1" applyBorder="1" applyProtection="1">
      <protection locked="0"/>
    </xf>
    <xf numFmtId="169" fontId="1" fillId="9" borderId="0" xfId="0" applyNumberFormat="1" applyFont="1" applyFill="1" applyBorder="1" applyProtection="1"/>
    <xf numFmtId="0" fontId="128" fillId="9" borderId="2" xfId="0" applyFont="1" applyFill="1" applyBorder="1" applyAlignment="1" applyProtection="1">
      <alignment wrapText="1"/>
    </xf>
    <xf numFmtId="0" fontId="152" fillId="9" borderId="2" xfId="0" applyFont="1" applyFill="1" applyBorder="1" applyAlignment="1" applyProtection="1">
      <alignment horizontal="center" wrapText="1"/>
    </xf>
    <xf numFmtId="0" fontId="128" fillId="9" borderId="2" xfId="0" applyFont="1" applyFill="1" applyBorder="1" applyAlignment="1" applyProtection="1">
      <alignment horizontal="center" wrapText="1"/>
    </xf>
    <xf numFmtId="164" fontId="142" fillId="9" borderId="0" xfId="0" applyNumberFormat="1" applyFont="1" applyFill="1" applyBorder="1" applyAlignment="1" applyProtection="1">
      <alignment horizontal="center" wrapText="1"/>
    </xf>
    <xf numFmtId="164" fontId="149" fillId="9" borderId="0" xfId="0" applyNumberFormat="1" applyFont="1" applyFill="1" applyBorder="1" applyAlignment="1" applyProtection="1">
      <alignment horizontal="center" wrapText="1"/>
    </xf>
    <xf numFmtId="0" fontId="156" fillId="9" borderId="0" xfId="0" applyFont="1" applyFill="1" applyProtection="1"/>
    <xf numFmtId="0" fontId="13" fillId="9" borderId="0" xfId="0" applyFont="1" applyFill="1" applyAlignment="1" applyProtection="1">
      <alignment horizontal="left"/>
    </xf>
    <xf numFmtId="0" fontId="4" fillId="7" borderId="1" xfId="0" applyFont="1" applyFill="1" applyBorder="1" applyAlignment="1" applyProtection="1">
      <alignment horizontal="center"/>
      <protection locked="0"/>
    </xf>
    <xf numFmtId="0" fontId="4" fillId="7" borderId="29" xfId="0" applyFont="1" applyFill="1" applyBorder="1" applyAlignment="1" applyProtection="1">
      <alignment horizontal="center"/>
      <protection locked="0"/>
    </xf>
    <xf numFmtId="0" fontId="4" fillId="7" borderId="25" xfId="0" applyFont="1" applyFill="1" applyBorder="1" applyAlignment="1" applyProtection="1">
      <alignment horizontal="center"/>
      <protection locked="0"/>
    </xf>
    <xf numFmtId="0" fontId="46" fillId="9" borderId="0" xfId="0" applyFont="1" applyFill="1" applyBorder="1" applyAlignment="1" applyProtection="1">
      <alignment horizontal="right" wrapText="1"/>
    </xf>
    <xf numFmtId="0" fontId="46" fillId="9" borderId="0" xfId="0" applyFont="1" applyFill="1" applyBorder="1" applyAlignment="1" applyProtection="1">
      <alignment horizontal="right"/>
    </xf>
    <xf numFmtId="0" fontId="1" fillId="9" borderId="0" xfId="0" applyFont="1" applyFill="1" applyBorder="1" applyAlignment="1" applyProtection="1">
      <alignment horizontal="left" vertical="top" wrapText="1"/>
    </xf>
    <xf numFmtId="0" fontId="1" fillId="7" borderId="2" xfId="0" applyFont="1" applyFill="1" applyBorder="1" applyProtection="1">
      <protection locked="0"/>
    </xf>
    <xf numFmtId="0" fontId="124" fillId="9" borderId="3" xfId="0" applyFont="1" applyFill="1" applyBorder="1" applyProtection="1"/>
    <xf numFmtId="0" fontId="12" fillId="9" borderId="3" xfId="0" applyFont="1" applyFill="1" applyBorder="1" applyProtection="1"/>
    <xf numFmtId="0" fontId="0" fillId="9" borderId="0" xfId="0" applyFill="1" applyBorder="1" applyAlignment="1" applyProtection="1">
      <alignment horizontal="center" vertical="center"/>
    </xf>
    <xf numFmtId="167" fontId="1" fillId="9" borderId="0" xfId="2" applyNumberFormat="1" applyFont="1" applyFill="1" applyAlignment="1" applyProtection="1">
      <alignment horizontal="right"/>
    </xf>
    <xf numFmtId="44" fontId="1" fillId="9" borderId="0" xfId="2" applyFont="1" applyFill="1" applyBorder="1" applyAlignment="1" applyProtection="1">
      <alignment horizontal="right"/>
    </xf>
    <xf numFmtId="0" fontId="1" fillId="9" borderId="0" xfId="0" applyFont="1" applyFill="1" applyBorder="1" applyAlignment="1" applyProtection="1"/>
    <xf numFmtId="167" fontId="1" fillId="9" borderId="0" xfId="2" applyNumberFormat="1" applyFont="1" applyFill="1" applyBorder="1" applyAlignment="1" applyProtection="1"/>
    <xf numFmtId="0" fontId="1" fillId="9" borderId="14" xfId="0" applyFont="1" applyFill="1" applyBorder="1" applyAlignment="1" applyProtection="1">
      <alignment horizontal="right"/>
    </xf>
    <xf numFmtId="167" fontId="1" fillId="9" borderId="14" xfId="2" applyNumberFormat="1" applyFont="1" applyFill="1" applyBorder="1" applyAlignment="1" applyProtection="1">
      <alignment horizontal="center"/>
    </xf>
    <xf numFmtId="0" fontId="124" fillId="9" borderId="14" xfId="0" applyFont="1" applyFill="1" applyBorder="1" applyProtection="1"/>
    <xf numFmtId="0" fontId="12" fillId="9" borderId="14" xfId="0" applyFont="1" applyFill="1" applyBorder="1" applyProtection="1"/>
    <xf numFmtId="167" fontId="1" fillId="9" borderId="0" xfId="2" applyNumberFormat="1" applyFont="1" applyFill="1" applyBorder="1" applyAlignment="1" applyProtection="1">
      <alignment horizontal="center"/>
    </xf>
    <xf numFmtId="0" fontId="19" fillId="9" borderId="0" xfId="0" applyFont="1" applyFill="1" applyAlignment="1" applyProtection="1"/>
    <xf numFmtId="0" fontId="157" fillId="9" borderId="0" xfId="0" applyFont="1" applyFill="1" applyProtection="1"/>
    <xf numFmtId="0" fontId="13" fillId="9" borderId="0" xfId="0" applyFont="1" applyFill="1" applyAlignment="1" applyProtection="1">
      <alignment horizontal="right" vertical="center"/>
    </xf>
    <xf numFmtId="0" fontId="46" fillId="9" borderId="0" xfId="0" applyFont="1" applyFill="1" applyAlignment="1" applyProtection="1">
      <alignment horizontal="right"/>
    </xf>
    <xf numFmtId="0" fontId="19" fillId="9" borderId="0" xfId="0" applyFont="1" applyFill="1" applyAlignment="1" applyProtection="1">
      <alignment horizontal="right"/>
    </xf>
    <xf numFmtId="171" fontId="88" fillId="9" borderId="2" xfId="0" applyNumberFormat="1" applyFont="1" applyFill="1" applyBorder="1" applyAlignment="1" applyProtection="1">
      <alignment horizontal="center"/>
    </xf>
    <xf numFmtId="172" fontId="0" fillId="9" borderId="0" xfId="0" applyNumberFormat="1" applyFill="1" applyProtection="1"/>
    <xf numFmtId="172" fontId="4" fillId="9" borderId="0" xfId="0" applyNumberFormat="1" applyFont="1" applyFill="1" applyBorder="1" applyAlignment="1" applyProtection="1">
      <alignment horizontal="center"/>
      <protection locked="0"/>
    </xf>
    <xf numFmtId="0" fontId="107" fillId="9" borderId="0" xfId="4" applyFont="1" applyFill="1" applyProtection="1"/>
    <xf numFmtId="0" fontId="14" fillId="10" borderId="2" xfId="3" applyFont="1" applyFill="1" applyBorder="1" applyProtection="1"/>
    <xf numFmtId="0" fontId="0" fillId="9" borderId="11" xfId="0" applyFill="1" applyBorder="1" applyProtection="1"/>
    <xf numFmtId="2" fontId="41" fillId="7" borderId="11" xfId="0" applyNumberFormat="1" applyFont="1" applyFill="1" applyBorder="1" applyAlignment="1" applyProtection="1">
      <alignment horizontal="center" vertical="center" wrapText="1"/>
    </xf>
    <xf numFmtId="0" fontId="128" fillId="9" borderId="0" xfId="0" applyFont="1" applyFill="1" applyProtection="1"/>
    <xf numFmtId="0" fontId="0" fillId="9" borderId="0" xfId="0" applyFill="1" applyBorder="1" applyAlignment="1" applyProtection="1"/>
    <xf numFmtId="0" fontId="103" fillId="9" borderId="0" xfId="3" applyFont="1" applyFill="1" applyProtection="1"/>
    <xf numFmtId="0" fontId="23" fillId="9" borderId="0" xfId="3" applyFont="1" applyFill="1" applyAlignment="1" applyProtection="1">
      <alignment horizontal="center"/>
    </xf>
    <xf numFmtId="0" fontId="23" fillId="9" borderId="0" xfId="3" applyFont="1" applyFill="1" applyBorder="1" applyAlignment="1" applyProtection="1">
      <alignment horizontal="center"/>
    </xf>
    <xf numFmtId="0" fontId="18" fillId="9" borderId="0" xfId="3" applyFont="1" applyFill="1" applyProtection="1"/>
    <xf numFmtId="2" fontId="133" fillId="7" borderId="2" xfId="0" applyNumberFormat="1" applyFont="1" applyFill="1" applyBorder="1" applyAlignment="1" applyProtection="1">
      <alignment horizontal="center"/>
    </xf>
    <xf numFmtId="0" fontId="103" fillId="9" borderId="0" xfId="3" applyFont="1" applyFill="1" applyProtection="1"/>
    <xf numFmtId="0" fontId="13" fillId="9" borderId="0" xfId="3" applyFont="1" applyFill="1" applyProtection="1"/>
    <xf numFmtId="0" fontId="13" fillId="9" borderId="0" xfId="3" applyFont="1" applyFill="1" applyAlignment="1" applyProtection="1">
      <alignment horizontal="center"/>
    </xf>
    <xf numFmtId="0" fontId="1" fillId="9" borderId="0" xfId="3" applyFill="1"/>
    <xf numFmtId="0" fontId="1" fillId="9" borderId="0" xfId="0" applyFont="1" applyFill="1"/>
    <xf numFmtId="0" fontId="64" fillId="9" borderId="0" xfId="3" applyFont="1" applyFill="1" applyBorder="1" applyAlignment="1" applyProtection="1">
      <alignment horizontal="center" wrapText="1"/>
    </xf>
    <xf numFmtId="0" fontId="64" fillId="9" borderId="0" xfId="3" applyFont="1" applyFill="1" applyBorder="1" applyAlignment="1" applyProtection="1">
      <alignment horizontal="center" wrapText="1"/>
    </xf>
    <xf numFmtId="171" fontId="61" fillId="7" borderId="11" xfId="0" applyNumberFormat="1" applyFont="1" applyFill="1" applyBorder="1" applyAlignment="1" applyProtection="1">
      <alignment horizontal="center" wrapText="1"/>
    </xf>
    <xf numFmtId="171" fontId="71" fillId="7" borderId="11" xfId="0" applyNumberFormat="1" applyFont="1" applyFill="1" applyBorder="1" applyAlignment="1" applyProtection="1">
      <alignment horizontal="center" wrapText="1"/>
    </xf>
    <xf numFmtId="171" fontId="72" fillId="7" borderId="11" xfId="0" applyNumberFormat="1" applyFont="1" applyFill="1" applyBorder="1" applyAlignment="1" applyProtection="1">
      <alignment horizontal="center" wrapText="1"/>
    </xf>
    <xf numFmtId="171" fontId="13" fillId="7" borderId="2" xfId="0" applyNumberFormat="1" applyFont="1" applyFill="1" applyBorder="1" applyAlignment="1" applyProtection="1">
      <alignment horizontal="center"/>
    </xf>
    <xf numFmtId="171" fontId="158" fillId="7" borderId="2" xfId="0" applyNumberFormat="1" applyFont="1" applyFill="1" applyBorder="1" applyProtection="1"/>
    <xf numFmtId="0" fontId="159" fillId="9" borderId="0" xfId="0" applyFont="1" applyFill="1"/>
    <xf numFmtId="0" fontId="160" fillId="9" borderId="0" xfId="0" applyFont="1" applyFill="1" applyAlignment="1">
      <alignment vertical="center"/>
    </xf>
    <xf numFmtId="0" fontId="109" fillId="9" borderId="0" xfId="0" applyFont="1" applyFill="1" applyAlignment="1">
      <alignment vertical="center"/>
    </xf>
    <xf numFmtId="164" fontId="142" fillId="9" borderId="0" xfId="0" applyNumberFormat="1" applyFont="1" applyFill="1" applyProtection="1"/>
    <xf numFmtId="2" fontId="142" fillId="9" borderId="0" xfId="0" applyNumberFormat="1" applyFont="1" applyFill="1" applyProtection="1"/>
    <xf numFmtId="167" fontId="63" fillId="7" borderId="2" xfId="2" applyNumberFormat="1" applyFont="1" applyFill="1" applyBorder="1" applyAlignment="1" applyProtection="1">
      <alignment horizontal="center" vertical="center" wrapText="1"/>
      <protection locked="0"/>
    </xf>
    <xf numFmtId="0" fontId="1" fillId="9" borderId="0" xfId="0" applyFont="1" applyFill="1" applyAlignment="1">
      <alignment vertical="center"/>
    </xf>
    <xf numFmtId="0" fontId="167" fillId="10" borderId="2" xfId="0" applyFont="1" applyFill="1" applyBorder="1" applyAlignment="1" applyProtection="1">
      <alignment horizontal="left" textRotation="90" wrapText="1"/>
    </xf>
    <xf numFmtId="0" fontId="167" fillId="10" borderId="2" xfId="0" applyFont="1" applyFill="1" applyBorder="1" applyProtection="1"/>
    <xf numFmtId="0" fontId="167" fillId="9" borderId="13" xfId="0" applyFont="1" applyFill="1" applyBorder="1" applyAlignment="1" applyProtection="1">
      <alignment horizontal="center" textRotation="90"/>
    </xf>
    <xf numFmtId="0" fontId="167" fillId="9" borderId="2" xfId="0" applyFont="1" applyFill="1" applyBorder="1" applyAlignment="1" applyProtection="1">
      <alignment horizontal="center" textRotation="90" wrapText="1"/>
    </xf>
    <xf numFmtId="0" fontId="167" fillId="10" borderId="2" xfId="0" applyFont="1" applyFill="1" applyBorder="1" applyAlignment="1" applyProtection="1">
      <alignment horizontal="center" textRotation="90" wrapText="1"/>
    </xf>
    <xf numFmtId="44" fontId="71" fillId="9" borderId="0" xfId="2" applyFont="1" applyFill="1" applyBorder="1" applyAlignment="1" applyProtection="1">
      <alignment horizontal="right" wrapText="1"/>
    </xf>
    <xf numFmtId="0" fontId="10" fillId="9" borderId="0" xfId="0" applyFont="1" applyFill="1" applyBorder="1" applyProtection="1"/>
    <xf numFmtId="49" fontId="12" fillId="9" borderId="0" xfId="0" applyNumberFormat="1" applyFont="1" applyFill="1" applyProtection="1"/>
    <xf numFmtId="164" fontId="12" fillId="9" borderId="0" xfId="0" applyNumberFormat="1" applyFont="1" applyFill="1" applyBorder="1" applyAlignment="1" applyProtection="1">
      <alignment horizontal="center"/>
    </xf>
    <xf numFmtId="0" fontId="168" fillId="9" borderId="0" xfId="0" applyFont="1" applyFill="1" applyBorder="1" applyProtection="1"/>
    <xf numFmtId="0" fontId="142" fillId="9" borderId="14" xfId="0" applyFont="1" applyFill="1" applyBorder="1" applyProtection="1"/>
    <xf numFmtId="0" fontId="0" fillId="9" borderId="0" xfId="0" applyFill="1" applyAlignment="1" applyProtection="1">
      <alignment horizontal="center"/>
    </xf>
    <xf numFmtId="0" fontId="1" fillId="7" borderId="2" xfId="0" applyFont="1" applyFill="1" applyBorder="1" applyAlignment="1" applyProtection="1">
      <alignment horizontal="center"/>
      <protection locked="0"/>
    </xf>
    <xf numFmtId="0" fontId="1" fillId="9" borderId="0" xfId="0" applyFont="1" applyFill="1" applyBorder="1" applyAlignment="1" applyProtection="1">
      <alignment horizontal="right"/>
    </xf>
    <xf numFmtId="0" fontId="1" fillId="9" borderId="14" xfId="0" applyFont="1" applyFill="1" applyBorder="1" applyAlignment="1" applyProtection="1">
      <alignment horizontal="right"/>
    </xf>
    <xf numFmtId="167" fontId="1" fillId="9" borderId="0" xfId="2" applyNumberFormat="1" applyFont="1" applyFill="1" applyAlignment="1" applyProtection="1">
      <alignment horizontal="right"/>
    </xf>
    <xf numFmtId="44" fontId="1" fillId="9" borderId="0" xfId="2" applyFont="1" applyFill="1" applyBorder="1" applyAlignment="1" applyProtection="1">
      <alignment horizontal="right"/>
    </xf>
    <xf numFmtId="167" fontId="1" fillId="9" borderId="0" xfId="2" applyNumberFormat="1" applyFont="1" applyFill="1" applyBorder="1" applyAlignment="1" applyProtection="1"/>
    <xf numFmtId="15" fontId="0" fillId="7" borderId="2" xfId="0" applyNumberFormat="1" applyFill="1" applyBorder="1" applyAlignment="1" applyProtection="1">
      <alignment horizontal="center" vertical="center" wrapText="1"/>
      <protection locked="0"/>
    </xf>
    <xf numFmtId="0" fontId="1" fillId="7" borderId="2" xfId="0" applyFont="1" applyFill="1" applyBorder="1" applyAlignment="1" applyProtection="1">
      <alignment horizontal="center"/>
      <protection locked="0"/>
    </xf>
    <xf numFmtId="0" fontId="14" fillId="10" borderId="2" xfId="0" applyFont="1" applyFill="1" applyBorder="1" applyAlignment="1" applyProtection="1">
      <alignment horizontal="left" textRotation="90" wrapText="1"/>
    </xf>
    <xf numFmtId="174" fontId="69" fillId="7" borderId="11" xfId="0" applyNumberFormat="1" applyFont="1" applyFill="1" applyBorder="1" applyAlignment="1" applyProtection="1">
      <alignment horizontal="center" vertical="center" wrapText="1"/>
      <protection locked="0"/>
    </xf>
    <xf numFmtId="175" fontId="3" fillId="7" borderId="2" xfId="0" applyNumberFormat="1" applyFont="1" applyFill="1" applyBorder="1" applyAlignment="1" applyProtection="1">
      <alignment horizontal="center"/>
    </xf>
    <xf numFmtId="0" fontId="169" fillId="10" borderId="2" xfId="0" applyFont="1" applyFill="1" applyBorder="1" applyAlignment="1" applyProtection="1">
      <alignment horizontal="left" textRotation="90" wrapText="1"/>
    </xf>
    <xf numFmtId="0" fontId="169" fillId="10" borderId="2" xfId="0" applyFont="1" applyFill="1" applyBorder="1" applyAlignment="1" applyProtection="1">
      <alignment horizontal="center" textRotation="90" wrapText="1"/>
    </xf>
    <xf numFmtId="0" fontId="19" fillId="9" borderId="0" xfId="0" applyFont="1" applyFill="1" applyBorder="1" applyProtection="1"/>
    <xf numFmtId="0" fontId="170" fillId="10" borderId="2" xfId="0" applyFont="1" applyFill="1" applyBorder="1" applyAlignment="1" applyProtection="1">
      <alignment horizontal="center" vertical="center" wrapText="1"/>
    </xf>
    <xf numFmtId="0" fontId="1" fillId="7" borderId="2" xfId="0" applyFont="1" applyFill="1" applyBorder="1" applyAlignment="1" applyProtection="1">
      <alignment horizontal="center"/>
      <protection locked="0"/>
    </xf>
    <xf numFmtId="0" fontId="171" fillId="10" borderId="2" xfId="0" applyFont="1" applyFill="1" applyBorder="1" applyAlignment="1" applyProtection="1">
      <alignment horizontal="left" textRotation="90" wrapText="1"/>
    </xf>
    <xf numFmtId="0" fontId="100" fillId="9" borderId="0" xfId="0" applyFont="1" applyFill="1" applyBorder="1" applyAlignment="1" applyProtection="1">
      <alignment horizontal="center" vertical="top"/>
    </xf>
    <xf numFmtId="0" fontId="160" fillId="9" borderId="0" xfId="0" applyFont="1" applyFill="1" applyBorder="1" applyProtection="1"/>
    <xf numFmtId="0" fontId="173" fillId="10" borderId="2" xfId="0" applyFont="1" applyFill="1" applyBorder="1" applyAlignment="1" applyProtection="1">
      <alignment horizontal="left" textRotation="90" wrapText="1"/>
    </xf>
    <xf numFmtId="0" fontId="151" fillId="9" borderId="0" xfId="0" applyFont="1" applyFill="1" applyAlignment="1" applyProtection="1"/>
    <xf numFmtId="2" fontId="110" fillId="9" borderId="0" xfId="0" applyNumberFormat="1" applyFont="1" applyFill="1" applyBorder="1" applyAlignment="1" applyProtection="1">
      <alignment horizontal="right"/>
    </xf>
    <xf numFmtId="0" fontId="110" fillId="9" borderId="0" xfId="0" applyFont="1" applyFill="1" applyBorder="1" applyAlignment="1" applyProtection="1">
      <alignment horizontal="right" wrapText="1"/>
    </xf>
    <xf numFmtId="0" fontId="172" fillId="9" borderId="0" xfId="0" applyFont="1" applyFill="1" applyAlignment="1" applyProtection="1">
      <alignment vertical="top"/>
    </xf>
    <xf numFmtId="164" fontId="0" fillId="11" borderId="2" xfId="0" applyNumberFormat="1" applyFill="1" applyBorder="1" applyAlignment="1" applyProtection="1">
      <alignment horizontal="center" vertical="center"/>
    </xf>
    <xf numFmtId="0" fontId="175" fillId="11" borderId="0" xfId="0" applyFont="1" applyFill="1" applyAlignment="1" applyProtection="1">
      <alignment horizontal="center" vertical="center"/>
    </xf>
    <xf numFmtId="0" fontId="0" fillId="11" borderId="2" xfId="0" applyFill="1" applyBorder="1" applyAlignment="1" applyProtection="1">
      <alignment horizontal="center" vertical="center"/>
    </xf>
    <xf numFmtId="164" fontId="0" fillId="11" borderId="0" xfId="0" applyNumberFormat="1" applyFill="1" applyProtection="1"/>
    <xf numFmtId="0" fontId="174" fillId="11" borderId="0" xfId="0" applyFont="1" applyFill="1" applyProtection="1"/>
    <xf numFmtId="0" fontId="0" fillId="11" borderId="0" xfId="0" applyFill="1" applyProtection="1"/>
    <xf numFmtId="0" fontId="0" fillId="0" borderId="0" xfId="0"/>
    <xf numFmtId="167" fontId="63" fillId="9" borderId="0" xfId="2" applyNumberFormat="1" applyFont="1" applyFill="1" applyBorder="1" applyAlignment="1" applyProtection="1">
      <alignment horizontal="right" wrapText="1"/>
    </xf>
    <xf numFmtId="0" fontId="63" fillId="9" borderId="0" xfId="0" applyFont="1" applyFill="1" applyBorder="1" applyAlignment="1" applyProtection="1">
      <alignment horizontal="right" wrapText="1"/>
    </xf>
    <xf numFmtId="0" fontId="80" fillId="9" borderId="0" xfId="0" applyFont="1" applyFill="1" applyAlignment="1" applyProtection="1">
      <alignment wrapText="1"/>
    </xf>
    <xf numFmtId="0" fontId="63" fillId="9" borderId="0" xfId="0" applyFont="1" applyFill="1" applyAlignment="1" applyProtection="1">
      <alignment wrapText="1"/>
    </xf>
    <xf numFmtId="0" fontId="63" fillId="9" borderId="7" xfId="0" applyFont="1" applyFill="1" applyBorder="1" applyAlignment="1" applyProtection="1">
      <alignment wrapText="1"/>
    </xf>
    <xf numFmtId="44" fontId="63" fillId="9" borderId="8" xfId="2" applyFont="1" applyFill="1" applyBorder="1" applyAlignment="1" applyProtection="1">
      <alignment horizontal="right" wrapText="1"/>
    </xf>
    <xf numFmtId="0" fontId="0" fillId="9" borderId="0" xfId="0" applyFill="1" applyProtection="1"/>
    <xf numFmtId="0" fontId="0" fillId="9" borderId="20" xfId="0" applyFill="1" applyBorder="1" applyProtection="1"/>
    <xf numFmtId="0" fontId="111" fillId="9" borderId="0" xfId="0" applyFont="1" applyFill="1" applyBorder="1" applyProtection="1"/>
    <xf numFmtId="0" fontId="128" fillId="9" borderId="0" xfId="0" applyFont="1" applyFill="1" applyBorder="1" applyProtection="1"/>
    <xf numFmtId="0" fontId="128" fillId="9" borderId="0" xfId="0" applyFont="1" applyFill="1" applyBorder="1" applyAlignment="1" applyProtection="1">
      <alignment horizontal="left"/>
    </xf>
    <xf numFmtId="0" fontId="1" fillId="9" borderId="0" xfId="0" applyFont="1" applyFill="1" applyBorder="1" applyProtection="1"/>
    <xf numFmtId="0" fontId="1" fillId="9" borderId="0" xfId="0" applyFont="1" applyFill="1" applyProtection="1"/>
    <xf numFmtId="0" fontId="0" fillId="9" borderId="0" xfId="0" applyFill="1" applyBorder="1" applyProtection="1"/>
    <xf numFmtId="0" fontId="0" fillId="9" borderId="3" xfId="0" applyFill="1" applyBorder="1" applyProtection="1"/>
    <xf numFmtId="0" fontId="13" fillId="9" borderId="0" xfId="0" applyFont="1" applyFill="1" applyProtection="1"/>
    <xf numFmtId="0" fontId="0" fillId="9" borderId="22" xfId="0" applyFill="1" applyBorder="1" applyProtection="1"/>
    <xf numFmtId="0" fontId="12" fillId="9" borderId="0" xfId="0" applyFont="1" applyFill="1" applyBorder="1" applyProtection="1"/>
    <xf numFmtId="0" fontId="124" fillId="9" borderId="0" xfId="0" applyFont="1" applyFill="1" applyBorder="1" applyProtection="1"/>
    <xf numFmtId="0" fontId="19" fillId="9" borderId="2" xfId="0" applyFont="1" applyFill="1" applyBorder="1" applyProtection="1"/>
    <xf numFmtId="0" fontId="0" fillId="9" borderId="0" xfId="0" applyFill="1" applyBorder="1" applyAlignment="1" applyProtection="1">
      <alignment horizontal="left" vertical="top" wrapText="1"/>
    </xf>
    <xf numFmtId="0" fontId="1" fillId="9" borderId="0" xfId="0" applyFont="1" applyFill="1" applyBorder="1" applyAlignment="1" applyProtection="1">
      <alignment horizontal="right"/>
    </xf>
    <xf numFmtId="2" fontId="13" fillId="7" borderId="2" xfId="0" applyNumberFormat="1" applyFont="1" applyFill="1" applyBorder="1" applyProtection="1"/>
    <xf numFmtId="0" fontId="0" fillId="7" borderId="2" xfId="0" applyFill="1" applyBorder="1" applyProtection="1">
      <protection locked="0"/>
    </xf>
    <xf numFmtId="0" fontId="0" fillId="7" borderId="2" xfId="0" applyFill="1" applyBorder="1" applyProtection="1"/>
    <xf numFmtId="0" fontId="4" fillId="7" borderId="2" xfId="0" applyFont="1" applyFill="1" applyBorder="1" applyAlignment="1" applyProtection="1">
      <alignment horizontal="center"/>
      <protection locked="0"/>
    </xf>
    <xf numFmtId="3" fontId="4" fillId="7" borderId="2" xfId="0" applyNumberFormat="1" applyFont="1" applyFill="1" applyBorder="1" applyAlignment="1" applyProtection="1">
      <alignment horizontal="center"/>
      <protection locked="0"/>
    </xf>
    <xf numFmtId="0" fontId="13" fillId="7" borderId="2" xfId="0" applyFont="1" applyFill="1" applyBorder="1" applyAlignment="1" applyProtection="1">
      <alignment vertical="justify" wrapText="1"/>
      <protection locked="0"/>
    </xf>
    <xf numFmtId="0" fontId="138" fillId="9" borderId="0" xfId="0" applyFont="1" applyFill="1" applyBorder="1" applyProtection="1"/>
    <xf numFmtId="0" fontId="141" fillId="9" borderId="0" xfId="0" applyFont="1" applyFill="1" applyAlignment="1" applyProtection="1">
      <alignment wrapText="1"/>
    </xf>
    <xf numFmtId="0" fontId="142" fillId="9" borderId="0" xfId="0" applyFont="1" applyFill="1" applyBorder="1" applyProtection="1"/>
    <xf numFmtId="2" fontId="128" fillId="7" borderId="2" xfId="0" applyNumberFormat="1" applyFont="1" applyFill="1" applyBorder="1" applyAlignment="1" applyProtection="1">
      <alignment horizontal="center" vertical="center"/>
    </xf>
    <xf numFmtId="0" fontId="145" fillId="7" borderId="15" xfId="0" applyFont="1" applyFill="1" applyBorder="1" applyAlignment="1" applyProtection="1">
      <alignment textRotation="90" wrapText="1"/>
    </xf>
    <xf numFmtId="0" fontId="1" fillId="7" borderId="2" xfId="0" applyFont="1" applyFill="1" applyBorder="1" applyProtection="1"/>
    <xf numFmtId="0" fontId="124" fillId="7" borderId="2" xfId="0" applyFont="1" applyFill="1" applyBorder="1" applyProtection="1"/>
    <xf numFmtId="0" fontId="128" fillId="9" borderId="0" xfId="0" applyFont="1" applyFill="1" applyBorder="1" applyAlignment="1" applyProtection="1">
      <alignment wrapText="1"/>
    </xf>
    <xf numFmtId="0" fontId="152" fillId="9" borderId="0" xfId="0" applyFont="1" applyFill="1" applyBorder="1" applyAlignment="1" applyProtection="1">
      <alignment horizontal="center" wrapText="1"/>
    </xf>
    <xf numFmtId="0" fontId="152" fillId="9" borderId="0" xfId="0" applyFont="1" applyFill="1" applyBorder="1" applyAlignment="1" applyProtection="1">
      <alignment wrapText="1"/>
    </xf>
    <xf numFmtId="0" fontId="128" fillId="9" borderId="0" xfId="0" applyFont="1" applyFill="1" applyAlignment="1" applyProtection="1">
      <alignment wrapText="1"/>
    </xf>
    <xf numFmtId="0" fontId="0" fillId="9" borderId="0" xfId="0" applyFill="1" applyBorder="1" applyAlignment="1" applyProtection="1">
      <alignment horizontal="right"/>
    </xf>
    <xf numFmtId="164" fontId="0" fillId="7" borderId="2" xfId="0" applyNumberFormat="1" applyFill="1" applyBorder="1" applyProtection="1">
      <protection locked="0"/>
    </xf>
    <xf numFmtId="0" fontId="46" fillId="9" borderId="0" xfId="0" applyFont="1" applyFill="1" applyBorder="1" applyAlignment="1" applyProtection="1">
      <alignment horizontal="right"/>
    </xf>
    <xf numFmtId="0" fontId="1" fillId="9" borderId="0" xfId="0" applyFont="1" applyFill="1" applyBorder="1" applyAlignment="1" applyProtection="1">
      <alignment horizontal="left" vertical="top" wrapText="1"/>
    </xf>
    <xf numFmtId="171" fontId="19" fillId="7" borderId="13" xfId="0" applyNumberFormat="1" applyFont="1" applyFill="1" applyBorder="1" applyAlignment="1" applyProtection="1">
      <alignment horizontal="center"/>
      <protection locked="0"/>
    </xf>
    <xf numFmtId="171" fontId="19" fillId="7" borderId="14" xfId="0" applyNumberFormat="1" applyFont="1" applyFill="1" applyBorder="1" applyAlignment="1" applyProtection="1">
      <alignment horizontal="center"/>
      <protection locked="0"/>
    </xf>
    <xf numFmtId="171" fontId="19" fillId="7" borderId="28" xfId="0" applyNumberFormat="1" applyFont="1" applyFill="1" applyBorder="1" applyAlignment="1" applyProtection="1">
      <alignment horizontal="center"/>
      <protection locked="0"/>
    </xf>
    <xf numFmtId="49" fontId="19" fillId="7" borderId="13" xfId="0" applyNumberFormat="1" applyFont="1" applyFill="1" applyBorder="1" applyAlignment="1" applyProtection="1">
      <alignment horizontal="center" vertical="justify" wrapText="1"/>
      <protection locked="0"/>
    </xf>
    <xf numFmtId="49" fontId="19" fillId="7" borderId="14" xfId="0" applyNumberFormat="1" applyFont="1" applyFill="1" applyBorder="1" applyAlignment="1" applyProtection="1">
      <alignment horizontal="center" vertical="justify" wrapText="1"/>
      <protection locked="0"/>
    </xf>
    <xf numFmtId="49" fontId="19" fillId="7" borderId="28" xfId="0" applyNumberFormat="1" applyFont="1" applyFill="1" applyBorder="1" applyAlignment="1" applyProtection="1">
      <alignment horizontal="center" vertical="justify" wrapText="1"/>
      <protection locked="0"/>
    </xf>
    <xf numFmtId="0" fontId="0" fillId="9" borderId="0" xfId="0" applyFill="1"/>
    <xf numFmtId="0" fontId="150" fillId="9" borderId="0" xfId="0" applyFont="1" applyFill="1" applyAlignment="1">
      <alignment horizontal="left" indent="1"/>
    </xf>
    <xf numFmtId="0" fontId="147" fillId="9" borderId="0" xfId="0" applyFont="1" applyFill="1" applyProtection="1"/>
    <xf numFmtId="0" fontId="0" fillId="11" borderId="0" xfId="0" applyFill="1" applyAlignment="1" applyProtection="1">
      <alignment horizontal="center" vertical="center"/>
    </xf>
    <xf numFmtId="0" fontId="0" fillId="11" borderId="2" xfId="0" applyFill="1" applyBorder="1" applyProtection="1"/>
    <xf numFmtId="164" fontId="0" fillId="11" borderId="2" xfId="0" applyNumberFormat="1" applyFill="1" applyBorder="1" applyProtection="1"/>
    <xf numFmtId="0" fontId="175" fillId="11" borderId="2" xfId="0" applyFont="1" applyFill="1" applyBorder="1" applyProtection="1"/>
    <xf numFmtId="0" fontId="0" fillId="11" borderId="2" xfId="0" applyFill="1" applyBorder="1" applyAlignment="1" applyProtection="1">
      <alignment horizontal="center"/>
    </xf>
    <xf numFmtId="164" fontId="0" fillId="11" borderId="0" xfId="0" applyNumberFormat="1" applyFill="1" applyAlignment="1" applyProtection="1">
      <alignment horizontal="center" vertical="center"/>
    </xf>
    <xf numFmtId="0" fontId="19" fillId="9" borderId="0" xfId="0" applyFont="1" applyFill="1" applyAlignment="1" applyProtection="1">
      <alignment vertical="center"/>
    </xf>
    <xf numFmtId="0" fontId="155" fillId="9" borderId="0" xfId="0" applyFont="1" applyFill="1" applyBorder="1" applyProtection="1"/>
    <xf numFmtId="164" fontId="142" fillId="9" borderId="0" xfId="0" applyNumberFormat="1" applyFont="1" applyFill="1" applyBorder="1" applyAlignment="1" applyProtection="1">
      <alignment horizontal="left" vertical="top"/>
    </xf>
    <xf numFmtId="0" fontId="142" fillId="9" borderId="0" xfId="0" applyFont="1" applyFill="1" applyBorder="1" applyAlignment="1" applyProtection="1">
      <alignment horizontal="left" vertical="top"/>
    </xf>
    <xf numFmtId="0" fontId="155" fillId="9" borderId="0" xfId="0" applyFont="1" applyFill="1" applyBorder="1" applyAlignment="1" applyProtection="1"/>
    <xf numFmtId="0" fontId="0" fillId="9" borderId="31" xfId="0" applyFill="1" applyBorder="1" applyAlignment="1" applyProtection="1"/>
    <xf numFmtId="0" fontId="0" fillId="9" borderId="31" xfId="0" applyFill="1" applyBorder="1" applyProtection="1"/>
    <xf numFmtId="0" fontId="179" fillId="10" borderId="2" xfId="0" applyFont="1" applyFill="1" applyBorder="1" applyAlignment="1" applyProtection="1">
      <alignment horizontal="center" vertical="center" textRotation="90" wrapText="1"/>
    </xf>
    <xf numFmtId="171" fontId="4" fillId="9" borderId="2" xfId="0" applyNumberFormat="1" applyFont="1" applyFill="1" applyBorder="1" applyAlignment="1" applyProtection="1">
      <alignment horizontal="center"/>
      <protection locked="0"/>
    </xf>
    <xf numFmtId="2" fontId="164" fillId="9" borderId="0" xfId="0" applyNumberFormat="1" applyFont="1" applyFill="1" applyBorder="1" applyAlignment="1" applyProtection="1">
      <alignment horizontal="center" vertical="center"/>
    </xf>
    <xf numFmtId="0" fontId="93" fillId="9" borderId="0" xfId="0" applyFont="1" applyFill="1" applyBorder="1" applyAlignment="1" applyProtection="1">
      <alignment horizontal="center" vertical="center" wrapText="1"/>
    </xf>
    <xf numFmtId="44" fontId="71" fillId="9" borderId="0" xfId="2" applyFont="1" applyFill="1" applyBorder="1" applyAlignment="1" applyProtection="1">
      <alignment horizontal="center" vertical="center" wrapText="1"/>
    </xf>
    <xf numFmtId="44" fontId="71" fillId="9" borderId="0" xfId="2" applyFont="1" applyFill="1" applyBorder="1" applyAlignment="1" applyProtection="1">
      <alignment horizontal="center" vertical="center" wrapText="1"/>
      <protection locked="0"/>
    </xf>
    <xf numFmtId="0" fontId="0" fillId="9" borderId="0" xfId="0" applyFill="1" applyAlignment="1" applyProtection="1">
      <alignment horizontal="center"/>
    </xf>
    <xf numFmtId="0" fontId="19" fillId="9" borderId="0" xfId="0" applyFont="1" applyFill="1" applyAlignment="1" applyProtection="1">
      <alignment horizontal="center"/>
    </xf>
    <xf numFmtId="2" fontId="164" fillId="9" borderId="0" xfId="0" applyNumberFormat="1" applyFont="1" applyFill="1" applyBorder="1" applyAlignment="1" applyProtection="1">
      <alignment horizontal="center" vertical="center"/>
    </xf>
    <xf numFmtId="14" fontId="1" fillId="9" borderId="0" xfId="0" applyNumberFormat="1" applyFont="1" applyFill="1" applyBorder="1" applyProtection="1"/>
    <xf numFmtId="49" fontId="53" fillId="9" borderId="0" xfId="0" applyNumberFormat="1" applyFont="1" applyFill="1" applyProtection="1"/>
    <xf numFmtId="0" fontId="7" fillId="7" borderId="2" xfId="0" applyFont="1" applyFill="1" applyBorder="1" applyAlignment="1" applyProtection="1">
      <alignment horizontal="center"/>
    </xf>
    <xf numFmtId="164" fontId="13" fillId="7" borderId="2" xfId="0" applyNumberFormat="1" applyFont="1" applyFill="1" applyBorder="1" applyAlignment="1" applyProtection="1">
      <alignment horizontal="center"/>
    </xf>
    <xf numFmtId="176" fontId="3" fillId="7" borderId="2" xfId="0" applyNumberFormat="1" applyFont="1" applyFill="1" applyBorder="1" applyAlignment="1" applyProtection="1">
      <alignment horizontal="center"/>
    </xf>
    <xf numFmtId="0" fontId="4" fillId="9" borderId="2" xfId="0" applyFont="1" applyFill="1" applyBorder="1" applyAlignment="1" applyProtection="1">
      <alignment horizontal="center"/>
    </xf>
    <xf numFmtId="3" fontId="1" fillId="9" borderId="0" xfId="0" applyNumberFormat="1" applyFont="1" applyFill="1" applyBorder="1" applyProtection="1"/>
    <xf numFmtId="0" fontId="103" fillId="9" borderId="0" xfId="0" applyFont="1" applyFill="1" applyProtection="1"/>
    <xf numFmtId="0" fontId="21" fillId="9" borderId="0" xfId="0" applyFont="1" applyFill="1" applyAlignment="1" applyProtection="1">
      <alignment horizontal="center"/>
    </xf>
    <xf numFmtId="0" fontId="12" fillId="9" borderId="0" xfId="0" applyFont="1" applyFill="1" applyAlignment="1" applyProtection="1"/>
    <xf numFmtId="0" fontId="12" fillId="9" borderId="0" xfId="0" applyFont="1" applyFill="1" applyBorder="1" applyAlignment="1" applyProtection="1">
      <alignment textRotation="90"/>
    </xf>
    <xf numFmtId="0" fontId="12" fillId="9" borderId="0" xfId="0" applyFont="1" applyFill="1" applyBorder="1" applyAlignment="1" applyProtection="1">
      <alignment horizontal="center"/>
    </xf>
    <xf numFmtId="2" fontId="12" fillId="9" borderId="0" xfId="0" applyNumberFormat="1" applyFont="1" applyFill="1" applyBorder="1" applyProtection="1"/>
    <xf numFmtId="0" fontId="12" fillId="9" borderId="0" xfId="0" applyFont="1" applyFill="1" applyBorder="1" applyAlignment="1" applyProtection="1">
      <alignment horizontal="right"/>
    </xf>
    <xf numFmtId="2" fontId="41" fillId="7" borderId="11" xfId="0" applyNumberFormat="1" applyFont="1" applyFill="1" applyBorder="1" applyAlignment="1" applyProtection="1">
      <alignment horizontal="center" vertical="center" wrapText="1"/>
      <protection locked="0"/>
    </xf>
    <xf numFmtId="2" fontId="41" fillId="9" borderId="11" xfId="0" applyNumberFormat="1" applyFont="1" applyFill="1" applyBorder="1" applyAlignment="1" applyProtection="1">
      <alignment horizontal="center" vertical="center" wrapText="1"/>
    </xf>
    <xf numFmtId="0" fontId="155" fillId="9" borderId="18" xfId="0" applyFont="1" applyFill="1" applyBorder="1" applyProtection="1"/>
    <xf numFmtId="164" fontId="158" fillId="7" borderId="2" xfId="0" applyNumberFormat="1" applyFont="1" applyFill="1" applyBorder="1" applyProtection="1"/>
    <xf numFmtId="164" fontId="155" fillId="9" borderId="0" xfId="0" applyNumberFormat="1" applyFont="1" applyFill="1" applyProtection="1"/>
    <xf numFmtId="164" fontId="155" fillId="9" borderId="18" xfId="0" applyNumberFormat="1" applyFont="1" applyFill="1" applyBorder="1" applyAlignment="1" applyProtection="1">
      <alignment horizontal="left" vertical="top"/>
    </xf>
    <xf numFmtId="0" fontId="155" fillId="9" borderId="18" xfId="0" applyFont="1" applyFill="1" applyBorder="1" applyAlignment="1" applyProtection="1">
      <alignment horizontal="left" vertical="top"/>
    </xf>
    <xf numFmtId="0" fontId="129" fillId="9" borderId="0" xfId="0" applyFont="1" applyFill="1" applyAlignment="1" applyProtection="1"/>
    <xf numFmtId="164" fontId="9" fillId="9" borderId="0" xfId="0" applyNumberFormat="1" applyFont="1" applyFill="1" applyBorder="1" applyAlignment="1" applyProtection="1"/>
    <xf numFmtId="0" fontId="23" fillId="9" borderId="0" xfId="0" applyFont="1" applyFill="1" applyAlignment="1" applyProtection="1">
      <alignment horizontal="center"/>
    </xf>
    <xf numFmtId="0" fontId="23" fillId="9" borderId="0" xfId="0" applyFont="1" applyFill="1" applyBorder="1" applyAlignment="1" applyProtection="1">
      <alignment horizontal="center"/>
    </xf>
    <xf numFmtId="0" fontId="18" fillId="9" borderId="0" xfId="0" applyFont="1" applyFill="1" applyProtection="1"/>
    <xf numFmtId="0" fontId="155" fillId="9" borderId="18" xfId="0" applyFont="1" applyFill="1" applyBorder="1" applyAlignment="1" applyProtection="1"/>
    <xf numFmtId="0" fontId="19" fillId="9" borderId="3" xfId="0" applyFont="1" applyFill="1" applyBorder="1" applyProtection="1"/>
    <xf numFmtId="0" fontId="46" fillId="9" borderId="0" xfId="0" applyFont="1" applyFill="1" applyAlignment="1" applyProtection="1">
      <alignment horizontal="left" textRotation="90" wrapText="1"/>
    </xf>
    <xf numFmtId="0" fontId="110" fillId="9" borderId="0" xfId="0" applyFont="1" applyFill="1" applyBorder="1" applyAlignment="1" applyProtection="1">
      <alignment horizontal="center" wrapText="1"/>
    </xf>
    <xf numFmtId="0" fontId="1" fillId="9" borderId="0" xfId="0" applyFont="1" applyFill="1" applyBorder="1" applyAlignment="1" applyProtection="1">
      <alignment horizontal="center" vertical="center" textRotation="90" wrapText="1"/>
    </xf>
    <xf numFmtId="0" fontId="46" fillId="9" borderId="0" xfId="0" applyFont="1" applyFill="1" applyProtection="1"/>
    <xf numFmtId="0" fontId="1" fillId="9" borderId="0" xfId="0" applyFont="1" applyFill="1" applyBorder="1" applyAlignment="1" applyProtection="1">
      <alignment textRotation="90"/>
    </xf>
    <xf numFmtId="2" fontId="110" fillId="9" borderId="0" xfId="0" applyNumberFormat="1" applyFont="1" applyFill="1" applyBorder="1" applyProtection="1"/>
    <xf numFmtId="2" fontId="1" fillId="9" borderId="0" xfId="0" applyNumberFormat="1" applyFont="1" applyFill="1" applyBorder="1" applyProtection="1"/>
    <xf numFmtId="164" fontId="1" fillId="7" borderId="2" xfId="0" applyNumberFormat="1" applyFont="1" applyFill="1" applyBorder="1" applyProtection="1"/>
    <xf numFmtId="0" fontId="110" fillId="10" borderId="2" xfId="0" applyFont="1" applyFill="1" applyBorder="1" applyAlignment="1" applyProtection="1">
      <alignment horizontal="center" wrapText="1"/>
    </xf>
    <xf numFmtId="0" fontId="110" fillId="10" borderId="2" xfId="0" applyFont="1" applyFill="1" applyBorder="1" applyAlignment="1" applyProtection="1">
      <alignment horizontal="left" textRotation="90" wrapText="1"/>
    </xf>
    <xf numFmtId="0" fontId="0" fillId="7" borderId="1" xfId="0" applyFill="1" applyBorder="1" applyProtection="1"/>
    <xf numFmtId="0" fontId="0" fillId="7" borderId="29" xfId="0" applyFill="1" applyBorder="1" applyProtection="1"/>
    <xf numFmtId="0" fontId="0" fillId="7" borderId="25" xfId="0" applyFill="1" applyBorder="1" applyProtection="1"/>
    <xf numFmtId="0" fontId="128" fillId="7" borderId="2" xfId="0" applyFont="1" applyFill="1" applyBorder="1" applyProtection="1">
      <protection locked="0"/>
    </xf>
    <xf numFmtId="164" fontId="28" fillId="9" borderId="0" xfId="0" applyNumberFormat="1" applyFont="1" applyFill="1" applyBorder="1" applyAlignment="1" applyProtection="1">
      <alignment horizontal="center"/>
    </xf>
    <xf numFmtId="0" fontId="1" fillId="7" borderId="13" xfId="0" applyFont="1" applyFill="1" applyBorder="1" applyAlignment="1" applyProtection="1">
      <alignment horizontal="left" vertical="center" wrapText="1"/>
      <protection locked="0"/>
    </xf>
    <xf numFmtId="0" fontId="0" fillId="7" borderId="14" xfId="0" applyFill="1" applyBorder="1" applyAlignment="1" applyProtection="1">
      <alignment horizontal="left" vertical="center" wrapText="1"/>
      <protection locked="0"/>
    </xf>
    <xf numFmtId="0" fontId="0" fillId="7" borderId="28" xfId="0" applyFill="1" applyBorder="1" applyAlignment="1" applyProtection="1">
      <alignment horizontal="left" vertical="center" wrapText="1"/>
      <protection locked="0"/>
    </xf>
    <xf numFmtId="0" fontId="1" fillId="7" borderId="13" xfId="0" applyFont="1" applyFill="1" applyBorder="1" applyAlignment="1" applyProtection="1">
      <alignment horizontal="left" vertical="top" wrapText="1"/>
      <protection locked="0"/>
    </xf>
    <xf numFmtId="0" fontId="0" fillId="7" borderId="14" xfId="0" applyFill="1" applyBorder="1" applyAlignment="1" applyProtection="1">
      <alignment horizontal="left" vertical="top" wrapText="1"/>
      <protection locked="0"/>
    </xf>
    <xf numFmtId="0" fontId="0" fillId="7" borderId="28" xfId="0" applyFill="1" applyBorder="1" applyAlignment="1" applyProtection="1">
      <alignment horizontal="left" vertical="top" wrapText="1"/>
      <protection locked="0"/>
    </xf>
    <xf numFmtId="0" fontId="0" fillId="9" borderId="2" xfId="0" applyFill="1" applyBorder="1" applyAlignment="1" applyProtection="1">
      <alignment horizontal="right"/>
    </xf>
    <xf numFmtId="0" fontId="0" fillId="7" borderId="2" xfId="0" applyFill="1" applyBorder="1" applyAlignment="1" applyProtection="1">
      <alignment horizontal="center"/>
      <protection locked="0"/>
    </xf>
    <xf numFmtId="0" fontId="1" fillId="7" borderId="2" xfId="0" applyFont="1" applyFill="1" applyBorder="1" applyAlignment="1" applyProtection="1">
      <alignment horizontal="center"/>
      <protection locked="0"/>
    </xf>
    <xf numFmtId="0" fontId="133" fillId="7" borderId="4" xfId="0" applyFont="1"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0" fillId="7" borderId="8" xfId="0" applyFill="1"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28" fillId="9" borderId="0" xfId="0" applyFont="1" applyFill="1" applyBorder="1" applyAlignment="1" applyProtection="1">
      <alignment horizontal="center"/>
    </xf>
    <xf numFmtId="0" fontId="1" fillId="9" borderId="2" xfId="0" applyFont="1" applyFill="1" applyBorder="1" applyAlignment="1" applyProtection="1">
      <alignment horizontal="right"/>
    </xf>
    <xf numFmtId="0" fontId="1" fillId="7" borderId="14" xfId="0" applyFont="1" applyFill="1" applyBorder="1" applyAlignment="1" applyProtection="1">
      <alignment horizontal="left" vertical="top" wrapText="1"/>
      <protection locked="0"/>
    </xf>
    <xf numFmtId="0" fontId="1" fillId="7" borderId="28" xfId="0" applyFont="1"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13" fillId="7" borderId="4" xfId="0" applyFont="1" applyFill="1" applyBorder="1" applyAlignment="1" applyProtection="1">
      <alignment horizontal="center" vertical="center" wrapText="1"/>
    </xf>
    <xf numFmtId="0" fontId="13" fillId="7" borderId="5"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3" fillId="7" borderId="7"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13" fillId="7" borderId="8" xfId="0" applyFont="1" applyFill="1" applyBorder="1" applyAlignment="1" applyProtection="1">
      <alignment horizontal="center" vertical="center" wrapText="1"/>
    </xf>
    <xf numFmtId="0" fontId="13" fillId="7" borderId="9"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3" fillId="7" borderId="10"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0" fillId="7" borderId="25" xfId="0" applyFill="1" applyBorder="1" applyAlignment="1" applyProtection="1">
      <alignment horizontal="center" vertical="center" wrapText="1"/>
      <protection locked="0"/>
    </xf>
    <xf numFmtId="171" fontId="19" fillId="7" borderId="2" xfId="0" applyNumberFormat="1"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19" fillId="7" borderId="36" xfId="0" applyFont="1" applyFill="1" applyBorder="1" applyAlignment="1" applyProtection="1">
      <alignment horizontal="center" vertical="center" wrapText="1"/>
      <protection locked="0"/>
    </xf>
    <xf numFmtId="170" fontId="19" fillId="7" borderId="35" xfId="0" applyNumberFormat="1" applyFont="1" applyFill="1" applyBorder="1" applyAlignment="1" applyProtection="1">
      <alignment horizontal="center" vertical="center" wrapText="1"/>
      <protection locked="0"/>
    </xf>
    <xf numFmtId="170" fontId="19" fillId="7" borderId="2" xfId="0" applyNumberFormat="1" applyFont="1" applyFill="1" applyBorder="1" applyAlignment="1" applyProtection="1">
      <alignment horizontal="center" vertical="center" wrapText="1"/>
      <protection locked="0"/>
    </xf>
    <xf numFmtId="0" fontId="13" fillId="9" borderId="13" xfId="0" applyFont="1" applyFill="1" applyBorder="1" applyAlignment="1" applyProtection="1">
      <alignment horizontal="left" vertical="center" wrapText="1"/>
    </xf>
    <xf numFmtId="0" fontId="0" fillId="9" borderId="14" xfId="0" applyFill="1" applyBorder="1" applyAlignment="1" applyProtection="1">
      <alignment horizontal="left" vertical="center" wrapText="1"/>
    </xf>
    <xf numFmtId="0" fontId="0" fillId="9" borderId="28" xfId="0" applyFill="1" applyBorder="1" applyAlignment="1" applyProtection="1">
      <alignment horizontal="left" vertical="center" wrapText="1"/>
    </xf>
    <xf numFmtId="0" fontId="50" fillId="9" borderId="2" xfId="0" applyFont="1" applyFill="1" applyBorder="1" applyAlignment="1" applyProtection="1">
      <alignment horizontal="right" vertical="top" wrapText="1"/>
    </xf>
    <xf numFmtId="0" fontId="50" fillId="9" borderId="13" xfId="0" applyFont="1" applyFill="1" applyBorder="1" applyAlignment="1" applyProtection="1">
      <alignment horizontal="right" vertical="top" wrapText="1"/>
    </xf>
    <xf numFmtId="0" fontId="50" fillId="9" borderId="14" xfId="0" applyFont="1" applyFill="1" applyBorder="1" applyAlignment="1" applyProtection="1">
      <alignment horizontal="right" vertical="top" wrapText="1"/>
    </xf>
    <xf numFmtId="0" fontId="50" fillId="9" borderId="28" xfId="0" applyFont="1" applyFill="1" applyBorder="1" applyAlignment="1" applyProtection="1">
      <alignment horizontal="right" vertical="top" wrapText="1"/>
    </xf>
    <xf numFmtId="0" fontId="0" fillId="7" borderId="2" xfId="0" applyFill="1" applyBorder="1" applyAlignment="1" applyProtection="1">
      <alignment horizontal="left" vertical="top" wrapText="1"/>
      <protection locked="0"/>
    </xf>
    <xf numFmtId="0" fontId="1" fillId="9" borderId="13" xfId="0" applyFont="1" applyFill="1" applyBorder="1" applyAlignment="1" applyProtection="1">
      <alignment horizontal="left" vertical="center" wrapText="1"/>
    </xf>
    <xf numFmtId="0" fontId="0" fillId="7" borderId="13" xfId="0" applyFill="1" applyBorder="1" applyAlignment="1" applyProtection="1">
      <alignment horizontal="left" vertical="center" wrapText="1"/>
      <protection locked="0"/>
    </xf>
    <xf numFmtId="0" fontId="1" fillId="7" borderId="2" xfId="0" applyFont="1" applyFill="1" applyBorder="1" applyAlignment="1" applyProtection="1">
      <alignment horizontal="right"/>
      <protection locked="0"/>
    </xf>
    <xf numFmtId="0" fontId="1" fillId="7" borderId="13" xfId="0" applyFont="1" applyFill="1" applyBorder="1" applyAlignment="1" applyProtection="1">
      <alignment horizontal="center" vertical="center" wrapText="1"/>
      <protection locked="0"/>
    </xf>
    <xf numFmtId="0" fontId="1" fillId="7" borderId="14" xfId="0" applyFont="1" applyFill="1" applyBorder="1" applyAlignment="1" applyProtection="1">
      <alignment horizontal="center" vertical="center" wrapText="1"/>
      <protection locked="0"/>
    </xf>
    <xf numFmtId="0" fontId="1" fillId="7" borderId="28" xfId="0" applyFont="1" applyFill="1" applyBorder="1" applyAlignment="1" applyProtection="1">
      <alignment horizontal="center" vertical="center" wrapText="1"/>
      <protection locked="0"/>
    </xf>
    <xf numFmtId="0" fontId="18" fillId="7" borderId="13" xfId="0" applyFont="1" applyFill="1" applyBorder="1" applyAlignment="1" applyProtection="1">
      <alignment horizontal="left" vertical="center" wrapText="1"/>
      <protection locked="0"/>
    </xf>
    <xf numFmtId="0" fontId="1" fillId="9" borderId="14" xfId="0" applyFont="1" applyFill="1" applyBorder="1" applyAlignment="1" applyProtection="1">
      <alignment horizontal="left" vertical="center" wrapText="1"/>
    </xf>
    <xf numFmtId="0" fontId="1" fillId="9" borderId="28" xfId="0" applyFont="1" applyFill="1" applyBorder="1" applyAlignment="1" applyProtection="1">
      <alignment horizontal="left" vertical="center" wrapText="1"/>
    </xf>
    <xf numFmtId="0" fontId="124" fillId="9" borderId="13" xfId="0" applyFont="1" applyFill="1" applyBorder="1" applyAlignment="1" applyProtection="1">
      <alignment horizontal="left" vertical="center" wrapText="1"/>
    </xf>
    <xf numFmtId="0" fontId="124" fillId="9" borderId="14" xfId="0" applyFont="1" applyFill="1" applyBorder="1" applyAlignment="1" applyProtection="1">
      <alignment horizontal="left" vertical="center" wrapText="1"/>
    </xf>
    <xf numFmtId="0" fontId="124" fillId="9" borderId="28" xfId="0" applyFont="1" applyFill="1" applyBorder="1" applyAlignment="1" applyProtection="1">
      <alignment horizontal="left" vertical="center" wrapText="1"/>
    </xf>
    <xf numFmtId="0" fontId="124" fillId="7" borderId="13" xfId="0" applyFont="1" applyFill="1" applyBorder="1" applyAlignment="1" applyProtection="1">
      <alignment horizontal="center" vertical="center" wrapText="1"/>
      <protection locked="0"/>
    </xf>
    <xf numFmtId="0" fontId="124" fillId="7" borderId="14" xfId="0" applyFont="1" applyFill="1" applyBorder="1" applyAlignment="1" applyProtection="1">
      <alignment horizontal="center" vertical="center" wrapText="1"/>
      <protection locked="0"/>
    </xf>
    <xf numFmtId="0" fontId="124" fillId="7" borderId="28" xfId="0" applyFont="1" applyFill="1" applyBorder="1" applyAlignment="1" applyProtection="1">
      <alignment horizontal="center" vertical="center" wrapText="1"/>
      <protection locked="0"/>
    </xf>
    <xf numFmtId="0" fontId="35" fillId="7" borderId="2" xfId="0" applyFont="1" applyFill="1" applyBorder="1" applyAlignment="1" applyProtection="1">
      <alignment horizontal="center"/>
      <protection locked="0"/>
    </xf>
    <xf numFmtId="49" fontId="36" fillId="7" borderId="13" xfId="0" applyNumberFormat="1" applyFont="1" applyFill="1" applyBorder="1" applyAlignment="1" applyProtection="1">
      <alignment horizontal="center" vertical="justify" wrapText="1"/>
      <protection locked="0"/>
    </xf>
    <xf numFmtId="49" fontId="36" fillId="7" borderId="14" xfId="0" applyNumberFormat="1" applyFont="1" applyFill="1" applyBorder="1" applyAlignment="1" applyProtection="1">
      <alignment horizontal="center" vertical="justify" wrapText="1"/>
      <protection locked="0"/>
    </xf>
    <xf numFmtId="49" fontId="36" fillId="7" borderId="28" xfId="0" applyNumberFormat="1" applyFont="1" applyFill="1" applyBorder="1" applyAlignment="1" applyProtection="1">
      <alignment horizontal="center" vertical="justify" wrapText="1"/>
      <protection locked="0"/>
    </xf>
    <xf numFmtId="0" fontId="19" fillId="9" borderId="2" xfId="0" applyFont="1" applyFill="1" applyBorder="1" applyAlignment="1" applyProtection="1">
      <alignment horizontal="right"/>
    </xf>
    <xf numFmtId="171" fontId="4" fillId="7" borderId="1" xfId="0" applyNumberFormat="1" applyFont="1" applyFill="1" applyBorder="1" applyAlignment="1" applyProtection="1">
      <alignment horizontal="center"/>
      <protection locked="0"/>
    </xf>
    <xf numFmtId="171" fontId="4" fillId="7" borderId="29" xfId="0" applyNumberFormat="1" applyFont="1" applyFill="1" applyBorder="1" applyAlignment="1" applyProtection="1">
      <alignment horizontal="center"/>
      <protection locked="0"/>
    </xf>
    <xf numFmtId="171" fontId="4" fillId="7" borderId="25" xfId="0" applyNumberFormat="1" applyFont="1" applyFill="1" applyBorder="1" applyAlignment="1" applyProtection="1">
      <alignment horizontal="center"/>
      <protection locked="0"/>
    </xf>
    <xf numFmtId="164" fontId="1" fillId="9" borderId="0" xfId="0" applyNumberFormat="1" applyFont="1" applyFill="1" applyBorder="1" applyAlignment="1" applyProtection="1">
      <alignment horizontal="center"/>
    </xf>
    <xf numFmtId="0" fontId="4" fillId="7" borderId="1" xfId="0" applyFont="1" applyFill="1" applyBorder="1" applyAlignment="1" applyProtection="1">
      <alignment horizontal="center"/>
      <protection locked="0"/>
    </xf>
    <xf numFmtId="0" fontId="4" fillId="7" borderId="29" xfId="0" applyFont="1" applyFill="1" applyBorder="1" applyAlignment="1" applyProtection="1">
      <alignment horizontal="center"/>
      <protection locked="0"/>
    </xf>
    <xf numFmtId="0" fontId="4" fillId="7" borderId="25" xfId="0" applyFont="1" applyFill="1" applyBorder="1" applyAlignment="1" applyProtection="1">
      <alignment horizontal="center"/>
      <protection locked="0"/>
    </xf>
    <xf numFmtId="0" fontId="13" fillId="9" borderId="0" xfId="0" applyFont="1" applyFill="1" applyAlignment="1" applyProtection="1">
      <alignment horizontal="left"/>
    </xf>
    <xf numFmtId="171" fontId="4" fillId="7" borderId="2" xfId="0" applyNumberFormat="1" applyFont="1" applyFill="1" applyBorder="1" applyAlignment="1" applyProtection="1">
      <alignment horizontal="center"/>
      <protection locked="0"/>
    </xf>
    <xf numFmtId="0" fontId="35" fillId="7" borderId="1" xfId="0" applyFont="1" applyFill="1" applyBorder="1" applyAlignment="1" applyProtection="1">
      <alignment horizontal="center" wrapText="1"/>
    </xf>
    <xf numFmtId="0" fontId="35" fillId="7" borderId="29" xfId="0" applyFont="1" applyFill="1" applyBorder="1" applyAlignment="1" applyProtection="1">
      <alignment horizontal="center" wrapText="1"/>
    </xf>
    <xf numFmtId="0" fontId="35" fillId="7" borderId="25" xfId="0" applyFont="1" applyFill="1" applyBorder="1" applyAlignment="1" applyProtection="1">
      <alignment horizontal="center" wrapText="1"/>
    </xf>
    <xf numFmtId="171" fontId="36" fillId="7" borderId="13" xfId="0" applyNumberFormat="1" applyFont="1" applyFill="1" applyBorder="1" applyAlignment="1" applyProtection="1">
      <alignment horizontal="center"/>
      <protection locked="0"/>
    </xf>
    <xf numFmtId="171" fontId="36" fillId="7" borderId="14" xfId="0" applyNumberFormat="1" applyFont="1" applyFill="1" applyBorder="1" applyAlignment="1" applyProtection="1">
      <alignment horizontal="center"/>
      <protection locked="0"/>
    </xf>
    <xf numFmtId="171" fontId="36" fillId="7" borderId="28" xfId="0" applyNumberFormat="1" applyFont="1" applyFill="1" applyBorder="1" applyAlignment="1" applyProtection="1">
      <alignment horizontal="center"/>
      <protection locked="0"/>
    </xf>
    <xf numFmtId="49" fontId="35" fillId="7" borderId="2" xfId="0" applyNumberFormat="1" applyFont="1" applyFill="1" applyBorder="1" applyAlignment="1" applyProtection="1">
      <alignment horizontal="center"/>
      <protection locked="0"/>
    </xf>
    <xf numFmtId="49" fontId="19" fillId="7" borderId="13" xfId="0" applyNumberFormat="1" applyFont="1" applyFill="1" applyBorder="1" applyAlignment="1" applyProtection="1">
      <alignment horizontal="center" vertical="justify" wrapText="1"/>
      <protection locked="0"/>
    </xf>
    <xf numFmtId="49" fontId="19" fillId="7" borderId="14" xfId="0" applyNumberFormat="1" applyFont="1" applyFill="1" applyBorder="1" applyAlignment="1" applyProtection="1">
      <alignment horizontal="center" vertical="justify" wrapText="1"/>
      <protection locked="0"/>
    </xf>
    <xf numFmtId="49" fontId="19" fillId="7" borderId="28" xfId="0" applyNumberFormat="1" applyFont="1" applyFill="1" applyBorder="1" applyAlignment="1" applyProtection="1">
      <alignment horizontal="center" vertical="justify" wrapText="1"/>
      <protection locked="0"/>
    </xf>
    <xf numFmtId="15" fontId="3" fillId="7" borderId="1" xfId="0" applyNumberFormat="1" applyFont="1" applyFill="1" applyBorder="1" applyAlignment="1" applyProtection="1">
      <alignment horizontal="center" vertical="center" wrapText="1"/>
      <protection locked="0"/>
    </xf>
    <xf numFmtId="15" fontId="0" fillId="7" borderId="29" xfId="0" applyNumberFormat="1" applyFill="1" applyBorder="1" applyAlignment="1" applyProtection="1">
      <alignment horizontal="center" vertical="center" wrapText="1"/>
      <protection locked="0"/>
    </xf>
    <xf numFmtId="15" fontId="0" fillId="7" borderId="25" xfId="0" applyNumberFormat="1" applyFill="1" applyBorder="1" applyAlignment="1" applyProtection="1">
      <alignment horizontal="center" vertical="center" wrapText="1"/>
      <protection locked="0"/>
    </xf>
    <xf numFmtId="171" fontId="6" fillId="7" borderId="1" xfId="0" applyNumberFormat="1" applyFont="1" applyFill="1" applyBorder="1" applyAlignment="1" applyProtection="1">
      <alignment horizontal="center" vertical="center" wrapText="1"/>
      <protection locked="0"/>
    </xf>
    <xf numFmtId="171" fontId="7" fillId="7" borderId="29" xfId="0" applyNumberFormat="1" applyFont="1" applyFill="1" applyBorder="1" applyAlignment="1" applyProtection="1">
      <alignment horizontal="center" vertical="center" wrapText="1"/>
      <protection locked="0"/>
    </xf>
    <xf numFmtId="171" fontId="7" fillId="7" borderId="25" xfId="0" applyNumberFormat="1" applyFont="1" applyFill="1" applyBorder="1" applyAlignment="1" applyProtection="1">
      <alignment horizontal="center" vertical="center" wrapText="1"/>
      <protection locked="0"/>
    </xf>
    <xf numFmtId="0" fontId="167" fillId="10" borderId="2" xfId="0" applyFont="1" applyFill="1" applyBorder="1" applyAlignment="1" applyProtection="1">
      <alignment horizontal="center"/>
    </xf>
    <xf numFmtId="0" fontId="167" fillId="10" borderId="13" xfId="0" applyFont="1" applyFill="1" applyBorder="1" applyAlignment="1" applyProtection="1">
      <alignment horizontal="center"/>
    </xf>
    <xf numFmtId="0" fontId="0" fillId="9" borderId="0" xfId="0" applyFill="1" applyAlignment="1" applyProtection="1">
      <alignment horizontal="center"/>
    </xf>
    <xf numFmtId="166" fontId="36" fillId="9" borderId="0" xfId="0" applyNumberFormat="1" applyFont="1" applyFill="1" applyBorder="1" applyAlignment="1" applyProtection="1">
      <alignment horizontal="center"/>
    </xf>
    <xf numFmtId="0" fontId="43" fillId="9" borderId="0" xfId="0" applyFont="1" applyFill="1" applyBorder="1" applyAlignment="1" applyProtection="1">
      <alignment horizontal="right"/>
    </xf>
    <xf numFmtId="0" fontId="43" fillId="9" borderId="0" xfId="0" applyFont="1" applyFill="1" applyAlignment="1" applyProtection="1">
      <alignment horizontal="right"/>
    </xf>
    <xf numFmtId="0" fontId="3" fillId="7" borderId="1" xfId="0" applyFont="1" applyFill="1" applyBorder="1" applyAlignment="1" applyProtection="1">
      <alignment horizontal="center" vertical="center" wrapText="1"/>
      <protection locked="0"/>
    </xf>
    <xf numFmtId="0" fontId="3" fillId="7" borderId="29" xfId="0" applyFont="1" applyFill="1" applyBorder="1" applyAlignment="1" applyProtection="1">
      <alignment horizontal="center" vertical="center" wrapText="1"/>
      <protection locked="0"/>
    </xf>
    <xf numFmtId="0" fontId="3" fillId="7" borderId="25"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5" fillId="7" borderId="29" xfId="0" applyFont="1" applyFill="1" applyBorder="1" applyAlignment="1" applyProtection="1">
      <alignment horizontal="center" vertical="center" wrapText="1"/>
      <protection locked="0"/>
    </xf>
    <xf numFmtId="0" fontId="5" fillId="7" borderId="25" xfId="0" applyFont="1" applyFill="1" applyBorder="1" applyAlignment="1" applyProtection="1">
      <alignment horizontal="center" vertical="center" wrapText="1"/>
      <protection locked="0"/>
    </xf>
    <xf numFmtId="15" fontId="133" fillId="7" borderId="1" xfId="0" applyNumberFormat="1" applyFont="1" applyFill="1" applyBorder="1" applyAlignment="1" applyProtection="1">
      <alignment horizontal="center" vertical="center" wrapText="1"/>
      <protection locked="0"/>
    </xf>
    <xf numFmtId="15" fontId="128" fillId="7" borderId="29" xfId="0" applyNumberFormat="1" applyFont="1" applyFill="1" applyBorder="1" applyAlignment="1" applyProtection="1">
      <alignment horizontal="center" vertical="center" wrapText="1"/>
      <protection locked="0"/>
    </xf>
    <xf numFmtId="15" fontId="128" fillId="7" borderId="25" xfId="0" applyNumberFormat="1" applyFont="1" applyFill="1" applyBorder="1" applyAlignment="1" applyProtection="1">
      <alignment horizontal="center" vertical="center" wrapText="1"/>
      <protection locked="0"/>
    </xf>
    <xf numFmtId="15" fontId="6" fillId="7" borderId="1" xfId="0" applyNumberFormat="1" applyFont="1" applyFill="1" applyBorder="1" applyAlignment="1" applyProtection="1">
      <alignment horizontal="center" vertical="center" wrapText="1"/>
      <protection locked="0"/>
    </xf>
    <xf numFmtId="15" fontId="7" fillId="7" borderId="29" xfId="0" applyNumberFormat="1" applyFont="1" applyFill="1" applyBorder="1" applyAlignment="1" applyProtection="1">
      <alignment horizontal="center" vertical="center" wrapText="1"/>
      <protection locked="0"/>
    </xf>
    <xf numFmtId="15" fontId="7" fillId="7" borderId="25" xfId="0" applyNumberFormat="1" applyFont="1" applyFill="1" applyBorder="1" applyAlignment="1" applyProtection="1">
      <alignment horizontal="center" vertical="center" wrapText="1"/>
      <protection locked="0"/>
    </xf>
    <xf numFmtId="171" fontId="133" fillId="7" borderId="1" xfId="0" applyNumberFormat="1" applyFont="1" applyFill="1" applyBorder="1" applyAlignment="1" applyProtection="1">
      <alignment horizontal="center" vertical="center" wrapText="1"/>
      <protection locked="0"/>
    </xf>
    <xf numFmtId="171" fontId="128" fillId="7" borderId="29" xfId="0" applyNumberFormat="1" applyFont="1" applyFill="1" applyBorder="1" applyAlignment="1" applyProtection="1">
      <alignment horizontal="center" vertical="center" wrapText="1"/>
      <protection locked="0"/>
    </xf>
    <xf numFmtId="171" fontId="128" fillId="7" borderId="25" xfId="0" applyNumberFormat="1" applyFont="1" applyFill="1" applyBorder="1" applyAlignment="1" applyProtection="1">
      <alignment horizontal="center" vertical="center" wrapText="1"/>
      <protection locked="0"/>
    </xf>
    <xf numFmtId="168" fontId="4" fillId="7" borderId="1" xfId="0" applyNumberFormat="1" applyFont="1" applyFill="1" applyBorder="1" applyAlignment="1" applyProtection="1">
      <alignment horizontal="center" vertical="center" wrapText="1"/>
      <protection locked="0"/>
    </xf>
    <xf numFmtId="168" fontId="5" fillId="7" borderId="29" xfId="0" applyNumberFormat="1" applyFont="1" applyFill="1" applyBorder="1" applyAlignment="1" applyProtection="1">
      <alignment horizontal="center" vertical="center" wrapText="1"/>
      <protection locked="0"/>
    </xf>
    <xf numFmtId="168" fontId="5" fillId="7" borderId="25" xfId="0" applyNumberFormat="1" applyFont="1" applyFill="1" applyBorder="1" applyAlignment="1" applyProtection="1">
      <alignment horizontal="center" vertical="center" wrapText="1"/>
      <protection locked="0"/>
    </xf>
    <xf numFmtId="0" fontId="1" fillId="9" borderId="0" xfId="0" applyFont="1" applyFill="1" applyAlignment="1" applyProtection="1">
      <alignment horizontal="center"/>
    </xf>
    <xf numFmtId="0" fontId="1" fillId="9" borderId="8" xfId="0" applyFont="1" applyFill="1" applyBorder="1" applyAlignment="1" applyProtection="1">
      <alignment horizontal="center"/>
    </xf>
    <xf numFmtId="0" fontId="1" fillId="9" borderId="7" xfId="0" applyFont="1" applyFill="1" applyBorder="1" applyAlignment="1" applyProtection="1">
      <alignment horizontal="center"/>
    </xf>
    <xf numFmtId="0" fontId="0" fillId="9" borderId="8" xfId="0" applyFill="1" applyBorder="1" applyAlignment="1" applyProtection="1">
      <alignment horizontal="center"/>
    </xf>
    <xf numFmtId="2" fontId="46" fillId="7" borderId="23" xfId="0" applyNumberFormat="1" applyFont="1" applyFill="1" applyBorder="1" applyAlignment="1" applyProtection="1">
      <alignment horizontal="center" vertical="center" wrapText="1"/>
    </xf>
    <xf numFmtId="2" fontId="46" fillId="7" borderId="24" xfId="0" applyNumberFormat="1" applyFont="1" applyFill="1" applyBorder="1" applyAlignment="1" applyProtection="1">
      <alignment horizontal="center" vertical="center" wrapText="1"/>
    </xf>
    <xf numFmtId="2" fontId="46" fillId="7" borderId="30" xfId="0" applyNumberFormat="1" applyFont="1" applyFill="1" applyBorder="1" applyAlignment="1" applyProtection="1">
      <alignment horizontal="center" vertical="center" wrapText="1"/>
    </xf>
    <xf numFmtId="2" fontId="46" fillId="7" borderId="18" xfId="0" applyNumberFormat="1" applyFont="1" applyFill="1" applyBorder="1" applyAlignment="1" applyProtection="1">
      <alignment horizontal="center" vertical="center" wrapText="1"/>
    </xf>
    <xf numFmtId="2" fontId="46" fillId="7" borderId="0" xfId="0" applyNumberFormat="1" applyFont="1" applyFill="1" applyBorder="1" applyAlignment="1" applyProtection="1">
      <alignment horizontal="center" vertical="center" wrapText="1"/>
    </xf>
    <xf numFmtId="2" fontId="46" fillId="7" borderId="20" xfId="0" applyNumberFormat="1" applyFont="1" applyFill="1" applyBorder="1" applyAlignment="1" applyProtection="1">
      <alignment horizontal="center" vertical="center" wrapText="1"/>
    </xf>
    <xf numFmtId="2" fontId="46" fillId="7" borderId="26" xfId="0" applyNumberFormat="1" applyFont="1" applyFill="1" applyBorder="1" applyAlignment="1" applyProtection="1">
      <alignment horizontal="center" vertical="center" wrapText="1"/>
    </xf>
    <xf numFmtId="2" fontId="46" fillId="7" borderId="27" xfId="0" applyNumberFormat="1" applyFont="1" applyFill="1" applyBorder="1" applyAlignment="1" applyProtection="1">
      <alignment horizontal="center" vertical="center" wrapText="1"/>
    </xf>
    <xf numFmtId="2" fontId="46" fillId="7" borderId="31" xfId="0" applyNumberFormat="1" applyFont="1" applyFill="1" applyBorder="1" applyAlignment="1" applyProtection="1">
      <alignment horizontal="center" vertical="center" wrapText="1"/>
    </xf>
    <xf numFmtId="164" fontId="46" fillId="9" borderId="0" xfId="0" applyNumberFormat="1" applyFont="1" applyFill="1" applyBorder="1" applyAlignment="1" applyProtection="1">
      <alignment horizontal="center"/>
    </xf>
    <xf numFmtId="49" fontId="4" fillId="7" borderId="1" xfId="0" applyNumberFormat="1" applyFont="1" applyFill="1" applyBorder="1" applyAlignment="1" applyProtection="1">
      <alignment horizontal="center" vertical="center" wrapText="1"/>
      <protection locked="0"/>
    </xf>
    <xf numFmtId="49" fontId="4" fillId="7" borderId="29" xfId="0" applyNumberFormat="1" applyFont="1" applyFill="1" applyBorder="1" applyAlignment="1" applyProtection="1">
      <alignment horizontal="center" vertical="center" wrapText="1"/>
      <protection locked="0"/>
    </xf>
    <xf numFmtId="49" fontId="4" fillId="7" borderId="25" xfId="0" applyNumberFormat="1"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xf>
    <xf numFmtId="0" fontId="4" fillId="7" borderId="29" xfId="0" applyFont="1" applyFill="1" applyBorder="1" applyAlignment="1" applyProtection="1">
      <alignment horizontal="center"/>
    </xf>
    <xf numFmtId="0" fontId="4" fillId="7" borderId="25" xfId="0" applyFont="1" applyFill="1" applyBorder="1" applyAlignment="1" applyProtection="1">
      <alignment horizontal="center"/>
    </xf>
    <xf numFmtId="0" fontId="29" fillId="9" borderId="0" xfId="0" applyFont="1" applyFill="1" applyAlignment="1" applyProtection="1">
      <alignment horizontal="center"/>
    </xf>
    <xf numFmtId="0" fontId="19" fillId="9" borderId="2" xfId="0" applyFont="1" applyFill="1" applyBorder="1" applyAlignment="1" applyProtection="1">
      <alignment horizontal="right" wrapText="1"/>
    </xf>
    <xf numFmtId="0" fontId="1" fillId="7" borderId="2" xfId="0" applyFont="1" applyFill="1" applyBorder="1" applyAlignment="1" applyProtection="1">
      <alignment horizontal="left" vertical="top" wrapText="1"/>
      <protection locked="0"/>
    </xf>
    <xf numFmtId="0" fontId="165" fillId="9" borderId="2" xfId="0" applyFont="1" applyFill="1" applyBorder="1" applyAlignment="1" applyProtection="1">
      <alignment horizontal="right" wrapText="1"/>
    </xf>
    <xf numFmtId="0" fontId="124" fillId="9" borderId="13" xfId="0" applyFont="1" applyFill="1" applyBorder="1" applyAlignment="1" applyProtection="1">
      <alignment horizontal="right" vertical="center" wrapText="1"/>
    </xf>
    <xf numFmtId="0" fontId="124" fillId="9" borderId="14" xfId="0" applyFont="1" applyFill="1" applyBorder="1" applyAlignment="1" applyProtection="1">
      <alignment horizontal="right" vertical="center" wrapText="1"/>
    </xf>
    <xf numFmtId="0" fontId="124" fillId="9" borderId="28" xfId="0" applyFont="1" applyFill="1" applyBorder="1" applyAlignment="1" applyProtection="1">
      <alignment horizontal="right" vertical="center" wrapText="1"/>
    </xf>
    <xf numFmtId="0" fontId="4" fillId="9" borderId="2" xfId="0" applyFont="1" applyFill="1" applyBorder="1" applyAlignment="1" applyProtection="1">
      <alignment horizontal="right"/>
    </xf>
    <xf numFmtId="0" fontId="19" fillId="9" borderId="2" xfId="0" applyFont="1" applyFill="1" applyBorder="1" applyAlignment="1" applyProtection="1">
      <alignment horizontal="right" vertical="center"/>
    </xf>
    <xf numFmtId="0" fontId="19" fillId="9" borderId="32" xfId="0" applyFont="1" applyFill="1" applyBorder="1" applyAlignment="1" applyProtection="1">
      <alignment horizontal="center" vertical="center" wrapText="1"/>
    </xf>
    <xf numFmtId="0" fontId="19" fillId="9" borderId="33" xfId="0" applyFont="1" applyFill="1" applyBorder="1" applyAlignment="1" applyProtection="1">
      <alignment horizontal="center" vertical="center" wrapText="1"/>
    </xf>
    <xf numFmtId="0" fontId="19" fillId="9" borderId="34" xfId="0" applyFont="1" applyFill="1" applyBorder="1" applyAlignment="1" applyProtection="1">
      <alignment horizontal="center" vertical="center" wrapText="1"/>
    </xf>
    <xf numFmtId="0" fontId="19" fillId="9" borderId="13" xfId="0" applyFont="1" applyFill="1" applyBorder="1" applyAlignment="1" applyProtection="1">
      <alignment horizontal="right" wrapText="1"/>
    </xf>
    <xf numFmtId="0" fontId="19" fillId="9" borderId="14" xfId="0" applyFont="1" applyFill="1" applyBorder="1" applyAlignment="1" applyProtection="1">
      <alignment horizontal="right" wrapText="1"/>
    </xf>
    <xf numFmtId="0" fontId="19" fillId="9" borderId="28" xfId="0" applyFont="1" applyFill="1" applyBorder="1" applyAlignment="1" applyProtection="1">
      <alignment horizontal="right" wrapText="1"/>
    </xf>
    <xf numFmtId="0" fontId="19" fillId="9" borderId="13" xfId="0" applyFont="1" applyFill="1" applyBorder="1" applyAlignment="1" applyProtection="1">
      <alignment horizontal="right" vertical="center" wrapText="1"/>
    </xf>
    <xf numFmtId="0" fontId="19" fillId="9" borderId="14" xfId="0" applyFont="1" applyFill="1" applyBorder="1" applyAlignment="1" applyProtection="1">
      <alignment horizontal="right" vertical="center" wrapText="1"/>
    </xf>
    <xf numFmtId="0" fontId="19" fillId="9" borderId="28" xfId="0" applyFont="1" applyFill="1" applyBorder="1" applyAlignment="1" applyProtection="1">
      <alignment horizontal="right" vertical="center" wrapText="1"/>
    </xf>
    <xf numFmtId="167" fontId="1" fillId="7" borderId="2" xfId="2" applyNumberFormat="1" applyFont="1" applyFill="1" applyBorder="1" applyAlignment="1" applyProtection="1">
      <alignment horizontal="center"/>
      <protection locked="0"/>
    </xf>
    <xf numFmtId="15" fontId="0" fillId="7" borderId="2" xfId="0" applyNumberFormat="1" applyFill="1" applyBorder="1" applyAlignment="1" applyProtection="1">
      <protection locked="0"/>
    </xf>
    <xf numFmtId="0" fontId="0" fillId="7" borderId="2" xfId="0" applyFill="1" applyBorder="1" applyAlignment="1" applyProtection="1">
      <protection locked="0"/>
    </xf>
    <xf numFmtId="0" fontId="0" fillId="9" borderId="4" xfId="0" applyFill="1" applyBorder="1" applyAlignment="1" applyProtection="1">
      <alignment horizontal="center" vertical="center" wrapText="1"/>
    </xf>
    <xf numFmtId="0" fontId="0" fillId="9" borderId="5" xfId="0" applyFill="1" applyBorder="1" applyAlignment="1" applyProtection="1">
      <alignment horizontal="center" vertical="center" wrapText="1"/>
    </xf>
    <xf numFmtId="0" fontId="0" fillId="9" borderId="6" xfId="0" applyFill="1" applyBorder="1" applyAlignment="1" applyProtection="1">
      <alignment horizontal="center" vertical="center" wrapText="1"/>
    </xf>
    <xf numFmtId="0" fontId="0" fillId="9" borderId="7" xfId="0" applyFill="1" applyBorder="1" applyAlignment="1" applyProtection="1">
      <alignment horizontal="center" vertical="center" wrapText="1"/>
    </xf>
    <xf numFmtId="0" fontId="0" fillId="9" borderId="0" xfId="0" applyFill="1" applyBorder="1" applyAlignment="1" applyProtection="1">
      <alignment horizontal="center" vertical="center" wrapText="1"/>
    </xf>
    <xf numFmtId="0" fontId="0" fillId="9" borderId="8" xfId="0" applyFill="1" applyBorder="1" applyAlignment="1" applyProtection="1">
      <alignment horizontal="center" vertical="center" wrapText="1"/>
    </xf>
    <xf numFmtId="0" fontId="0" fillId="9" borderId="9" xfId="0" applyFill="1" applyBorder="1" applyAlignment="1" applyProtection="1">
      <alignment horizontal="center" vertical="center" wrapText="1"/>
    </xf>
    <xf numFmtId="0" fontId="0" fillId="9" borderId="3" xfId="0" applyFill="1" applyBorder="1" applyAlignment="1" applyProtection="1">
      <alignment horizontal="center" vertical="center" wrapText="1"/>
    </xf>
    <xf numFmtId="0" fontId="0" fillId="9" borderId="10" xfId="0" applyFill="1" applyBorder="1" applyAlignment="1" applyProtection="1">
      <alignment horizontal="center" vertical="center" wrapText="1"/>
    </xf>
    <xf numFmtId="0" fontId="0" fillId="9" borderId="13" xfId="0" applyFill="1" applyBorder="1" applyAlignment="1" applyProtection="1">
      <alignment horizontal="left" wrapText="1"/>
    </xf>
    <xf numFmtId="0" fontId="0" fillId="9" borderId="14" xfId="0" applyFill="1" applyBorder="1" applyAlignment="1" applyProtection="1">
      <alignment horizontal="left" wrapText="1"/>
    </xf>
    <xf numFmtId="0" fontId="0" fillId="9" borderId="28" xfId="0" applyFill="1" applyBorder="1" applyAlignment="1" applyProtection="1">
      <alignment horizontal="left" wrapText="1"/>
    </xf>
    <xf numFmtId="0" fontId="49" fillId="9" borderId="13" xfId="0" applyFont="1" applyFill="1" applyBorder="1" applyAlignment="1" applyProtection="1">
      <alignment horizontal="center" vertical="center" wrapText="1"/>
    </xf>
    <xf numFmtId="0" fontId="49" fillId="9" borderId="14" xfId="0" applyFont="1" applyFill="1" applyBorder="1" applyAlignment="1" applyProtection="1">
      <alignment horizontal="center" vertical="center" wrapText="1"/>
    </xf>
    <xf numFmtId="0" fontId="49" fillId="9" borderId="28" xfId="0" applyFont="1" applyFill="1" applyBorder="1" applyAlignment="1" applyProtection="1">
      <alignment horizontal="center" vertical="center" wrapText="1"/>
    </xf>
    <xf numFmtId="0" fontId="49" fillId="9" borderId="2" xfId="0" applyFont="1" applyFill="1" applyBorder="1" applyAlignment="1" applyProtection="1">
      <alignment horizontal="center" vertical="center" wrapText="1"/>
    </xf>
    <xf numFmtId="168" fontId="1" fillId="9" borderId="0" xfId="2" applyNumberFormat="1" applyFont="1" applyFill="1" applyBorder="1" applyAlignment="1" applyProtection="1">
      <alignment horizontal="center"/>
    </xf>
    <xf numFmtId="15" fontId="1" fillId="7" borderId="2" xfId="0" applyNumberFormat="1" applyFont="1" applyFill="1" applyBorder="1" applyAlignment="1" applyProtection="1">
      <protection locked="0"/>
    </xf>
    <xf numFmtId="0" fontId="92" fillId="7" borderId="4" xfId="0" applyFont="1" applyFill="1" applyBorder="1" applyAlignment="1" applyProtection="1">
      <alignment horizontal="center" wrapText="1"/>
    </xf>
    <xf numFmtId="0" fontId="92" fillId="7" borderId="5" xfId="0" applyFont="1" applyFill="1" applyBorder="1" applyAlignment="1" applyProtection="1">
      <alignment horizontal="center" wrapText="1"/>
    </xf>
    <xf numFmtId="0" fontId="92" fillId="7" borderId="6" xfId="0" applyFont="1" applyFill="1" applyBorder="1" applyAlignment="1" applyProtection="1">
      <alignment horizontal="center" wrapText="1"/>
    </xf>
    <xf numFmtId="0" fontId="92" fillId="7" borderId="9" xfId="0" applyFont="1" applyFill="1" applyBorder="1" applyAlignment="1" applyProtection="1">
      <alignment horizontal="center" wrapText="1"/>
    </xf>
    <xf numFmtId="0" fontId="92" fillId="7" borderId="3" xfId="0" applyFont="1" applyFill="1" applyBorder="1" applyAlignment="1" applyProtection="1">
      <alignment horizontal="center" wrapText="1"/>
    </xf>
    <xf numFmtId="0" fontId="92" fillId="7" borderId="10" xfId="0" applyFont="1" applyFill="1" applyBorder="1" applyAlignment="1" applyProtection="1">
      <alignment horizontal="center" wrapText="1"/>
    </xf>
    <xf numFmtId="0" fontId="18" fillId="9" borderId="13" xfId="0" applyFont="1" applyFill="1" applyBorder="1" applyAlignment="1" applyProtection="1">
      <alignment horizontal="right" vertical="center" wrapText="1"/>
    </xf>
    <xf numFmtId="0" fontId="1" fillId="9" borderId="27" xfId="0" applyFont="1" applyFill="1" applyBorder="1" applyAlignment="1" applyProtection="1">
      <alignment horizontal="left" vertical="top" wrapText="1"/>
    </xf>
    <xf numFmtId="0" fontId="0" fillId="9" borderId="27" xfId="0" applyFill="1" applyBorder="1" applyAlignment="1" applyProtection="1">
      <alignment horizontal="left" vertical="top" wrapText="1"/>
    </xf>
    <xf numFmtId="0" fontId="19" fillId="7" borderId="2" xfId="0" applyFont="1" applyFill="1" applyBorder="1" applyAlignment="1" applyProtection="1">
      <alignment horizontal="right"/>
      <protection locked="0"/>
    </xf>
    <xf numFmtId="0" fontId="0" fillId="7" borderId="2" xfId="0" applyFill="1" applyBorder="1" applyAlignment="1" applyProtection="1">
      <alignment horizontal="right"/>
      <protection locked="0"/>
    </xf>
    <xf numFmtId="0" fontId="1" fillId="7" borderId="13" xfId="0" applyFont="1" applyFill="1" applyBorder="1" applyAlignment="1" applyProtection="1">
      <alignment horizontal="center" vertical="top" wrapText="1"/>
      <protection locked="0"/>
    </xf>
    <xf numFmtId="0" fontId="1" fillId="7" borderId="14" xfId="0" applyFont="1" applyFill="1" applyBorder="1" applyAlignment="1" applyProtection="1">
      <alignment horizontal="center" vertical="top" wrapText="1"/>
      <protection locked="0"/>
    </xf>
    <xf numFmtId="0" fontId="1" fillId="7" borderId="13" xfId="0" applyFont="1" applyFill="1" applyBorder="1" applyAlignment="1" applyProtection="1">
      <alignment horizontal="center"/>
      <protection locked="0"/>
    </xf>
    <xf numFmtId="0" fontId="0" fillId="7" borderId="28" xfId="0" applyFill="1" applyBorder="1" applyAlignment="1" applyProtection="1">
      <alignment horizontal="center"/>
      <protection locked="0"/>
    </xf>
    <xf numFmtId="0" fontId="1" fillId="9" borderId="23" xfId="0" applyFont="1" applyFill="1" applyBorder="1" applyAlignment="1" applyProtection="1">
      <alignment horizontal="left" vertical="center" wrapText="1"/>
    </xf>
    <xf numFmtId="0" fontId="0" fillId="9" borderId="24" xfId="0" applyFill="1" applyBorder="1" applyAlignment="1" applyProtection="1">
      <alignment horizontal="left" vertical="center" wrapText="1"/>
    </xf>
    <xf numFmtId="164" fontId="1" fillId="7" borderId="13" xfId="0" applyNumberFormat="1" applyFont="1" applyFill="1" applyBorder="1" applyAlignment="1" applyProtection="1">
      <alignment horizontal="center"/>
      <protection locked="0"/>
    </xf>
    <xf numFmtId="164" fontId="0" fillId="7" borderId="28" xfId="0" applyNumberFormat="1" applyFill="1" applyBorder="1" applyAlignment="1" applyProtection="1">
      <alignment horizontal="center"/>
      <protection locked="0"/>
    </xf>
    <xf numFmtId="170" fontId="19" fillId="7" borderId="37" xfId="0" applyNumberFormat="1" applyFont="1" applyFill="1" applyBorder="1" applyAlignment="1" applyProtection="1">
      <alignment horizontal="center" vertical="center" wrapText="1"/>
      <protection locked="0"/>
    </xf>
    <xf numFmtId="170" fontId="19" fillId="7" borderId="38" xfId="0" applyNumberFormat="1" applyFont="1" applyFill="1" applyBorder="1" applyAlignment="1" applyProtection="1">
      <alignment horizontal="center" vertical="center" wrapText="1"/>
      <protection locked="0"/>
    </xf>
    <xf numFmtId="0" fontId="19" fillId="7" borderId="38" xfId="0" applyFont="1" applyFill="1" applyBorder="1" applyAlignment="1" applyProtection="1">
      <alignment horizontal="center" vertical="center" wrapText="1"/>
      <protection locked="0"/>
    </xf>
    <xf numFmtId="171" fontId="19" fillId="7" borderId="38" xfId="0" applyNumberFormat="1" applyFont="1" applyFill="1" applyBorder="1" applyAlignment="1" applyProtection="1">
      <alignment horizontal="center" vertical="center" wrapText="1"/>
      <protection locked="0"/>
    </xf>
    <xf numFmtId="0" fontId="19" fillId="7" borderId="39" xfId="0" applyFont="1" applyFill="1" applyBorder="1" applyAlignment="1" applyProtection="1">
      <alignment horizontal="center" vertical="center" wrapText="1"/>
      <protection locked="0"/>
    </xf>
    <xf numFmtId="0" fontId="18" fillId="9" borderId="2" xfId="0" applyFont="1" applyFill="1" applyBorder="1" applyAlignment="1" applyProtection="1">
      <alignment horizontal="right" vertical="center"/>
    </xf>
    <xf numFmtId="0" fontId="4" fillId="7" borderId="2" xfId="0" applyFont="1" applyFill="1" applyBorder="1" applyAlignment="1" applyProtection="1">
      <alignment horizontal="left"/>
    </xf>
    <xf numFmtId="2" fontId="133" fillId="7" borderId="19" xfId="0" applyNumberFormat="1" applyFont="1" applyFill="1" applyBorder="1" applyAlignment="1" applyProtection="1">
      <alignment horizontal="center"/>
    </xf>
    <xf numFmtId="2" fontId="133" fillId="7" borderId="40" xfId="0" applyNumberFormat="1" applyFont="1" applyFill="1" applyBorder="1" applyAlignment="1" applyProtection="1">
      <alignment horizontal="center"/>
    </xf>
    <xf numFmtId="164" fontId="142" fillId="9" borderId="0" xfId="0" applyNumberFormat="1" applyFont="1" applyFill="1" applyBorder="1" applyAlignment="1" applyProtection="1">
      <alignment horizontal="center" vertical="center"/>
    </xf>
    <xf numFmtId="0" fontId="46" fillId="7" borderId="13" xfId="0" applyFont="1" applyFill="1" applyBorder="1" applyAlignment="1" applyProtection="1">
      <alignment horizontal="right" vertical="center"/>
    </xf>
    <xf numFmtId="0" fontId="46" fillId="7" borderId="14" xfId="0" applyFont="1" applyFill="1" applyBorder="1" applyAlignment="1" applyProtection="1">
      <alignment horizontal="right" vertical="center"/>
    </xf>
    <xf numFmtId="171" fontId="1" fillId="7" borderId="13" xfId="0" applyNumberFormat="1" applyFont="1" applyFill="1" applyBorder="1" applyAlignment="1" applyProtection="1">
      <alignment horizontal="center" vertical="center"/>
    </xf>
    <xf numFmtId="171" fontId="1" fillId="7" borderId="28" xfId="0" applyNumberFormat="1" applyFont="1" applyFill="1" applyBorder="1" applyAlignment="1" applyProtection="1">
      <alignment horizontal="center" vertical="center"/>
    </xf>
    <xf numFmtId="164" fontId="1" fillId="9" borderId="0" xfId="0" applyNumberFormat="1" applyFont="1" applyFill="1" applyBorder="1" applyAlignment="1" applyProtection="1">
      <alignment horizontal="center" vertical="center"/>
    </xf>
    <xf numFmtId="49" fontId="4" fillId="7" borderId="2" xfId="0" applyNumberFormat="1" applyFont="1" applyFill="1" applyBorder="1" applyAlignment="1" applyProtection="1">
      <alignment horizontal="left"/>
    </xf>
    <xf numFmtId="0" fontId="34" fillId="9" borderId="13" xfId="0" applyNumberFormat="1" applyFont="1" applyFill="1" applyBorder="1" applyAlignment="1" applyProtection="1">
      <alignment horizontal="center"/>
    </xf>
    <xf numFmtId="0" fontId="34" fillId="9" borderId="14" xfId="0" applyNumberFormat="1" applyFont="1" applyFill="1" applyBorder="1" applyAlignment="1" applyProtection="1">
      <alignment horizontal="center"/>
    </xf>
    <xf numFmtId="0" fontId="34" fillId="9" borderId="28" xfId="0" applyNumberFormat="1" applyFont="1" applyFill="1" applyBorder="1" applyAlignment="1" applyProtection="1">
      <alignment horizontal="center"/>
    </xf>
    <xf numFmtId="0" fontId="35" fillId="9" borderId="13" xfId="0" applyNumberFormat="1" applyFont="1" applyFill="1" applyBorder="1" applyAlignment="1" applyProtection="1">
      <alignment horizontal="center"/>
    </xf>
    <xf numFmtId="0" fontId="35" fillId="9" borderId="14" xfId="0" applyNumberFormat="1" applyFont="1" applyFill="1" applyBorder="1" applyAlignment="1" applyProtection="1">
      <alignment horizontal="center"/>
    </xf>
    <xf numFmtId="0" fontId="35" fillId="9" borderId="28" xfId="0" applyNumberFormat="1" applyFont="1" applyFill="1" applyBorder="1" applyAlignment="1" applyProtection="1">
      <alignment horizontal="center"/>
    </xf>
    <xf numFmtId="164" fontId="4" fillId="9" borderId="13" xfId="0" applyNumberFormat="1" applyFont="1" applyFill="1" applyBorder="1" applyAlignment="1" applyProtection="1">
      <alignment horizontal="center"/>
    </xf>
    <xf numFmtId="164" fontId="4" fillId="9" borderId="28" xfId="0" applyNumberFormat="1" applyFont="1" applyFill="1" applyBorder="1" applyAlignment="1" applyProtection="1">
      <alignment horizontal="center"/>
    </xf>
    <xf numFmtId="0" fontId="17" fillId="9" borderId="0" xfId="0" applyFont="1" applyFill="1" applyAlignment="1" applyProtection="1">
      <alignment horizontal="center"/>
    </xf>
    <xf numFmtId="0" fontId="17" fillId="9" borderId="8" xfId="0" applyFont="1" applyFill="1" applyBorder="1" applyAlignment="1" applyProtection="1">
      <alignment horizontal="center"/>
    </xf>
    <xf numFmtId="164" fontId="104" fillId="7" borderId="1" xfId="0" applyNumberFormat="1" applyFont="1" applyFill="1" applyBorder="1" applyAlignment="1" applyProtection="1">
      <alignment horizontal="center" vertical="center"/>
    </xf>
    <xf numFmtId="164" fontId="104" fillId="7" borderId="29" xfId="0" applyNumberFormat="1" applyFont="1" applyFill="1" applyBorder="1" applyAlignment="1" applyProtection="1">
      <alignment horizontal="center" vertical="center"/>
    </xf>
    <xf numFmtId="164" fontId="104" fillId="7" borderId="25" xfId="0" applyNumberFormat="1" applyFont="1" applyFill="1" applyBorder="1" applyAlignment="1" applyProtection="1">
      <alignment horizontal="center" vertical="center"/>
    </xf>
    <xf numFmtId="0" fontId="38" fillId="9" borderId="4" xfId="0" applyFont="1" applyFill="1" applyBorder="1" applyAlignment="1" applyProtection="1">
      <alignment horizontal="center"/>
    </xf>
    <xf numFmtId="0" fontId="38" fillId="9" borderId="6" xfId="0" applyFont="1" applyFill="1" applyBorder="1" applyAlignment="1" applyProtection="1">
      <alignment horizontal="center"/>
    </xf>
    <xf numFmtId="0" fontId="38" fillId="9" borderId="9" xfId="0" applyFont="1" applyFill="1" applyBorder="1" applyAlignment="1" applyProtection="1">
      <alignment horizontal="center"/>
    </xf>
    <xf numFmtId="0" fontId="38" fillId="9" borderId="10" xfId="0" applyFont="1" applyFill="1" applyBorder="1" applyAlignment="1" applyProtection="1">
      <alignment horizontal="center"/>
    </xf>
    <xf numFmtId="164" fontId="39" fillId="9" borderId="4" xfId="0" applyNumberFormat="1" applyFont="1" applyFill="1" applyBorder="1" applyAlignment="1" applyProtection="1">
      <alignment horizontal="center"/>
    </xf>
    <xf numFmtId="164" fontId="39" fillId="9" borderId="5" xfId="0" applyNumberFormat="1" applyFont="1" applyFill="1" applyBorder="1" applyAlignment="1" applyProtection="1">
      <alignment horizontal="center"/>
    </xf>
    <xf numFmtId="164" fontId="39" fillId="9" borderId="6" xfId="0" applyNumberFormat="1" applyFont="1" applyFill="1" applyBorder="1" applyAlignment="1" applyProtection="1">
      <alignment horizontal="center"/>
    </xf>
    <xf numFmtId="164" fontId="39" fillId="9" borderId="9" xfId="0" applyNumberFormat="1" applyFont="1" applyFill="1" applyBorder="1" applyAlignment="1" applyProtection="1">
      <alignment horizontal="center"/>
    </xf>
    <xf numFmtId="164" fontId="39" fillId="9" borderId="3" xfId="0" applyNumberFormat="1" applyFont="1" applyFill="1" applyBorder="1" applyAlignment="1" applyProtection="1">
      <alignment horizontal="center"/>
    </xf>
    <xf numFmtId="164" fontId="39" fillId="9" borderId="10" xfId="0" applyNumberFormat="1" applyFont="1" applyFill="1" applyBorder="1" applyAlignment="1" applyProtection="1">
      <alignment horizontal="center"/>
    </xf>
    <xf numFmtId="49" fontId="2" fillId="9" borderId="1" xfId="0" applyNumberFormat="1" applyFont="1" applyFill="1" applyBorder="1" applyAlignment="1" applyProtection="1">
      <alignment horizontal="center" vertical="center"/>
    </xf>
    <xf numFmtId="49" fontId="2" fillId="9" borderId="29" xfId="0" applyNumberFormat="1" applyFont="1" applyFill="1" applyBorder="1" applyAlignment="1" applyProtection="1">
      <alignment horizontal="center" vertical="center"/>
    </xf>
    <xf numFmtId="49" fontId="2" fillId="9" borderId="25" xfId="0" applyNumberFormat="1" applyFont="1" applyFill="1" applyBorder="1" applyAlignment="1" applyProtection="1">
      <alignment horizontal="center" vertical="center"/>
    </xf>
    <xf numFmtId="0" fontId="0" fillId="9" borderId="4" xfId="0"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0" fillId="9" borderId="6"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0" fontId="0" fillId="9" borderId="0" xfId="0" applyFill="1" applyBorder="1" applyAlignment="1" applyProtection="1">
      <alignment horizontal="center" vertical="center" wrapText="1"/>
      <protection locked="0"/>
    </xf>
    <xf numFmtId="0" fontId="0" fillId="9" borderId="8" xfId="0" applyFill="1" applyBorder="1" applyAlignment="1" applyProtection="1">
      <alignment horizontal="center" vertical="center" wrapText="1"/>
      <protection locked="0"/>
    </xf>
    <xf numFmtId="0" fontId="0" fillId="9" borderId="9"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0" fillId="9" borderId="10" xfId="0" applyFill="1" applyBorder="1" applyAlignment="1" applyProtection="1">
      <alignment horizontal="center" vertical="center" wrapText="1"/>
      <protection locked="0"/>
    </xf>
    <xf numFmtId="0" fontId="0" fillId="9" borderId="1" xfId="0" applyFill="1" applyBorder="1" applyAlignment="1" applyProtection="1">
      <alignment horizontal="center"/>
    </xf>
    <xf numFmtId="0" fontId="0" fillId="9" borderId="29" xfId="0" applyFill="1" applyBorder="1" applyAlignment="1" applyProtection="1">
      <alignment horizontal="center"/>
    </xf>
    <xf numFmtId="0" fontId="0" fillId="9" borderId="25" xfId="0" applyFill="1" applyBorder="1" applyAlignment="1" applyProtection="1">
      <alignment horizontal="center"/>
    </xf>
    <xf numFmtId="0" fontId="0" fillId="9" borderId="1" xfId="0" applyFill="1" applyBorder="1" applyAlignment="1" applyProtection="1">
      <alignment horizontal="center" vertical="center" wrapText="1"/>
    </xf>
    <xf numFmtId="0" fontId="0" fillId="9" borderId="29" xfId="0" applyFill="1" applyBorder="1" applyAlignment="1" applyProtection="1">
      <alignment horizontal="center" vertical="center" wrapText="1"/>
    </xf>
    <xf numFmtId="0" fontId="0" fillId="9" borderId="25" xfId="0" applyFill="1" applyBorder="1" applyAlignment="1" applyProtection="1">
      <alignment horizontal="center" vertical="center" wrapText="1"/>
    </xf>
    <xf numFmtId="0" fontId="14" fillId="9" borderId="13" xfId="0" applyFont="1" applyFill="1" applyBorder="1" applyAlignment="1" applyProtection="1">
      <alignment horizontal="center"/>
    </xf>
    <xf numFmtId="0" fontId="14" fillId="9" borderId="14" xfId="0" applyFont="1" applyFill="1" applyBorder="1" applyAlignment="1" applyProtection="1">
      <alignment horizontal="center"/>
    </xf>
    <xf numFmtId="0" fontId="14" fillId="9" borderId="28" xfId="0" applyFont="1" applyFill="1" applyBorder="1" applyAlignment="1" applyProtection="1">
      <alignment horizontal="center"/>
    </xf>
    <xf numFmtId="164" fontId="94" fillId="7" borderId="1" xfId="0" applyNumberFormat="1" applyFont="1" applyFill="1" applyBorder="1" applyAlignment="1" applyProtection="1">
      <alignment horizontal="center"/>
    </xf>
    <xf numFmtId="164" fontId="94" fillId="7" borderId="29" xfId="0" applyNumberFormat="1" applyFont="1" applyFill="1" applyBorder="1" applyAlignment="1" applyProtection="1">
      <alignment horizontal="center"/>
    </xf>
    <xf numFmtId="164" fontId="94" fillId="7" borderId="25" xfId="0" applyNumberFormat="1" applyFont="1" applyFill="1" applyBorder="1" applyAlignment="1" applyProtection="1">
      <alignment horizontal="center"/>
    </xf>
    <xf numFmtId="0" fontId="23" fillId="9" borderId="0" xfId="0" applyFont="1" applyFill="1" applyAlignment="1" applyProtection="1">
      <alignment horizontal="center"/>
    </xf>
    <xf numFmtId="0" fontId="23" fillId="9" borderId="8" xfId="0" applyFont="1" applyFill="1" applyBorder="1" applyAlignment="1" applyProtection="1">
      <alignment horizontal="center"/>
    </xf>
    <xf numFmtId="164" fontId="2" fillId="7" borderId="1" xfId="0" applyNumberFormat="1" applyFont="1" applyFill="1" applyBorder="1" applyAlignment="1" applyProtection="1">
      <alignment horizontal="center" vertical="center"/>
    </xf>
    <xf numFmtId="164" fontId="2" fillId="7" borderId="29" xfId="0" applyNumberFormat="1" applyFont="1" applyFill="1" applyBorder="1" applyAlignment="1" applyProtection="1">
      <alignment horizontal="center" vertical="center"/>
    </xf>
    <xf numFmtId="164" fontId="2" fillId="7" borderId="25" xfId="0" applyNumberFormat="1" applyFont="1" applyFill="1" applyBorder="1" applyAlignment="1" applyProtection="1">
      <alignment horizontal="center" vertical="center"/>
    </xf>
    <xf numFmtId="164" fontId="77" fillId="7" borderId="1" xfId="0" applyNumberFormat="1" applyFont="1" applyFill="1" applyBorder="1" applyAlignment="1" applyProtection="1">
      <alignment horizontal="center" vertical="center"/>
    </xf>
    <xf numFmtId="164" fontId="77" fillId="7" borderId="29" xfId="0" applyNumberFormat="1" applyFont="1" applyFill="1" applyBorder="1" applyAlignment="1" applyProtection="1">
      <alignment horizontal="center" vertical="center"/>
    </xf>
    <xf numFmtId="164" fontId="77" fillId="7" borderId="25" xfId="0" applyNumberFormat="1" applyFont="1" applyFill="1" applyBorder="1" applyAlignment="1" applyProtection="1">
      <alignment horizontal="center" vertical="center"/>
    </xf>
    <xf numFmtId="0" fontId="23" fillId="9" borderId="0" xfId="0" applyFont="1" applyFill="1" applyBorder="1" applyAlignment="1" applyProtection="1">
      <alignment horizontal="center"/>
    </xf>
    <xf numFmtId="164" fontId="95" fillId="9" borderId="0" xfId="0" applyNumberFormat="1" applyFont="1" applyFill="1" applyBorder="1" applyAlignment="1" applyProtection="1">
      <alignment horizontal="center" vertical="center"/>
    </xf>
    <xf numFmtId="164" fontId="82" fillId="7" borderId="1" xfId="0" applyNumberFormat="1" applyFont="1" applyFill="1" applyBorder="1" applyAlignment="1" applyProtection="1">
      <alignment horizontal="center"/>
    </xf>
    <xf numFmtId="164" fontId="82" fillId="7" borderId="29" xfId="0" applyNumberFormat="1" applyFont="1" applyFill="1" applyBorder="1" applyAlignment="1" applyProtection="1">
      <alignment horizontal="center"/>
    </xf>
    <xf numFmtId="164" fontId="82" fillId="7" borderId="25" xfId="0" applyNumberFormat="1" applyFont="1" applyFill="1" applyBorder="1" applyAlignment="1" applyProtection="1">
      <alignment horizontal="center"/>
    </xf>
    <xf numFmtId="0" fontId="172" fillId="9" borderId="0" xfId="0" applyFont="1" applyFill="1" applyBorder="1" applyAlignment="1" applyProtection="1">
      <alignment horizontal="center"/>
    </xf>
    <xf numFmtId="0" fontId="172" fillId="9" borderId="0" xfId="0" applyFont="1" applyFill="1" applyAlignment="1" applyProtection="1">
      <alignment horizontal="center"/>
    </xf>
    <xf numFmtId="164" fontId="4" fillId="7" borderId="1" xfId="0" applyNumberFormat="1" applyFont="1" applyFill="1" applyBorder="1" applyAlignment="1" applyProtection="1">
      <alignment horizontal="center"/>
      <protection locked="0"/>
    </xf>
    <xf numFmtId="164" fontId="4" fillId="7" borderId="29" xfId="0" applyNumberFormat="1" applyFont="1" applyFill="1" applyBorder="1" applyAlignment="1" applyProtection="1">
      <alignment horizontal="center"/>
      <protection locked="0"/>
    </xf>
    <xf numFmtId="164" fontId="4" fillId="7" borderId="25" xfId="0" applyNumberFormat="1" applyFont="1" applyFill="1" applyBorder="1" applyAlignment="1" applyProtection="1">
      <alignment horizontal="center"/>
      <protection locked="0"/>
    </xf>
    <xf numFmtId="164" fontId="82" fillId="7" borderId="1" xfId="0" applyNumberFormat="1" applyFont="1" applyFill="1" applyBorder="1" applyAlignment="1" applyProtection="1">
      <alignment horizontal="center" vertical="center"/>
    </xf>
    <xf numFmtId="164" fontId="82" fillId="7" borderId="29" xfId="0" applyNumberFormat="1" applyFont="1" applyFill="1" applyBorder="1" applyAlignment="1" applyProtection="1">
      <alignment horizontal="center" vertical="center"/>
    </xf>
    <xf numFmtId="164" fontId="82" fillId="7" borderId="25" xfId="0" applyNumberFormat="1" applyFont="1" applyFill="1" applyBorder="1" applyAlignment="1" applyProtection="1">
      <alignment horizontal="center" vertical="center"/>
    </xf>
    <xf numFmtId="0" fontId="163" fillId="9" borderId="0" xfId="0" applyFont="1" applyFill="1" applyBorder="1" applyAlignment="1" applyProtection="1">
      <alignment horizontal="center"/>
    </xf>
    <xf numFmtId="0" fontId="0" fillId="9" borderId="0" xfId="0" applyFill="1" applyBorder="1" applyAlignment="1" applyProtection="1">
      <alignment horizontal="center"/>
    </xf>
    <xf numFmtId="0" fontId="19" fillId="9" borderId="0" xfId="0" applyFont="1" applyFill="1" applyBorder="1" applyAlignment="1" applyProtection="1">
      <alignment horizontal="center"/>
    </xf>
    <xf numFmtId="0" fontId="19" fillId="9" borderId="0" xfId="0" applyFont="1" applyFill="1" applyAlignment="1" applyProtection="1">
      <alignment horizontal="center"/>
    </xf>
    <xf numFmtId="0" fontId="4" fillId="9" borderId="0" xfId="0" applyFont="1" applyFill="1" applyBorder="1" applyAlignment="1" applyProtection="1">
      <alignment horizontal="center"/>
    </xf>
    <xf numFmtId="0" fontId="4" fillId="9" borderId="1" xfId="0" applyFont="1" applyFill="1" applyBorder="1" applyAlignment="1" applyProtection="1">
      <alignment horizontal="center"/>
      <protection locked="0"/>
    </xf>
    <xf numFmtId="0" fontId="4" fillId="9" borderId="29" xfId="0" applyFont="1" applyFill="1" applyBorder="1" applyAlignment="1" applyProtection="1">
      <alignment horizontal="center"/>
      <protection locked="0"/>
    </xf>
    <xf numFmtId="0" fontId="4" fillId="9" borderId="25" xfId="0" applyFont="1" applyFill="1" applyBorder="1" applyAlignment="1" applyProtection="1">
      <alignment horizontal="center"/>
      <protection locked="0"/>
    </xf>
    <xf numFmtId="164" fontId="4" fillId="9" borderId="1" xfId="0" applyNumberFormat="1" applyFont="1" applyFill="1" applyBorder="1" applyAlignment="1" applyProtection="1">
      <alignment horizontal="center"/>
      <protection locked="0"/>
    </xf>
    <xf numFmtId="164" fontId="82" fillId="9" borderId="1" xfId="0" applyNumberFormat="1" applyFont="1" applyFill="1" applyBorder="1" applyAlignment="1" applyProtection="1">
      <alignment horizontal="center"/>
    </xf>
    <xf numFmtId="164" fontId="82" fillId="9" borderId="29" xfId="0" applyNumberFormat="1" applyFont="1" applyFill="1" applyBorder="1" applyAlignment="1" applyProtection="1">
      <alignment horizontal="center"/>
    </xf>
    <xf numFmtId="164" fontId="12" fillId="9" borderId="0" xfId="0" applyNumberFormat="1" applyFont="1" applyFill="1" applyBorder="1" applyAlignment="1" applyProtection="1">
      <alignment horizontal="center"/>
    </xf>
    <xf numFmtId="0" fontId="0" fillId="0" borderId="29" xfId="0" applyBorder="1"/>
    <xf numFmtId="0" fontId="0" fillId="0" borderId="25" xfId="0" applyBorder="1"/>
    <xf numFmtId="0" fontId="4" fillId="9" borderId="0" xfId="0" applyFont="1" applyFill="1" applyAlignment="1" applyProtection="1">
      <alignment horizontal="center"/>
    </xf>
    <xf numFmtId="0" fontId="1" fillId="9" borderId="0" xfId="0" applyFont="1" applyFill="1" applyBorder="1" applyAlignment="1" applyProtection="1">
      <alignment horizontal="right"/>
    </xf>
    <xf numFmtId="0" fontId="0" fillId="9" borderId="0" xfId="0" applyFill="1" applyBorder="1" applyAlignment="1" applyProtection="1">
      <alignment horizontal="right"/>
    </xf>
    <xf numFmtId="2" fontId="83" fillId="7" borderId="1" xfId="0" applyNumberFormat="1" applyFont="1" applyFill="1" applyBorder="1" applyAlignment="1" applyProtection="1">
      <alignment horizontal="center"/>
    </xf>
    <xf numFmtId="2" fontId="83" fillId="7" borderId="29" xfId="0" applyNumberFormat="1" applyFont="1" applyFill="1" applyBorder="1" applyAlignment="1" applyProtection="1">
      <alignment horizontal="center"/>
    </xf>
    <xf numFmtId="2" fontId="83" fillId="7" borderId="25" xfId="0" applyNumberFormat="1" applyFont="1" applyFill="1" applyBorder="1" applyAlignment="1" applyProtection="1">
      <alignment horizontal="center"/>
    </xf>
    <xf numFmtId="0" fontId="0" fillId="9" borderId="8" xfId="0" applyFill="1" applyBorder="1" applyAlignment="1" applyProtection="1">
      <alignment horizontal="right"/>
    </xf>
    <xf numFmtId="171" fontId="83" fillId="7" borderId="1" xfId="0" applyNumberFormat="1" applyFont="1" applyFill="1" applyBorder="1" applyAlignment="1" applyProtection="1">
      <alignment horizontal="center"/>
    </xf>
    <xf numFmtId="171" fontId="83" fillId="7" borderId="25" xfId="0" applyNumberFormat="1" applyFont="1" applyFill="1" applyBorder="1" applyAlignment="1" applyProtection="1">
      <alignment horizontal="center"/>
    </xf>
    <xf numFmtId="0" fontId="1" fillId="9" borderId="7" xfId="0" applyFont="1" applyFill="1" applyBorder="1" applyAlignment="1" applyProtection="1">
      <alignment horizontal="right"/>
    </xf>
    <xf numFmtId="0" fontId="136" fillId="7" borderId="13" xfId="0" applyFont="1" applyFill="1" applyBorder="1" applyAlignment="1" applyProtection="1">
      <alignment horizontal="center" vertical="center"/>
    </xf>
    <xf numFmtId="0" fontId="136" fillId="7" borderId="14" xfId="0" applyFont="1" applyFill="1" applyBorder="1" applyAlignment="1" applyProtection="1">
      <alignment horizontal="center" vertical="center"/>
    </xf>
    <xf numFmtId="0" fontId="136" fillId="7" borderId="28" xfId="0" applyFont="1" applyFill="1" applyBorder="1" applyAlignment="1" applyProtection="1">
      <alignment horizontal="center" vertical="center"/>
    </xf>
    <xf numFmtId="164" fontId="60" fillId="7" borderId="1" xfId="0" applyNumberFormat="1" applyFont="1" applyFill="1" applyBorder="1" applyAlignment="1" applyProtection="1">
      <alignment horizontal="center" vertical="center"/>
    </xf>
    <xf numFmtId="164" fontId="60" fillId="7" borderId="29" xfId="0" applyNumberFormat="1" applyFont="1" applyFill="1" applyBorder="1" applyAlignment="1" applyProtection="1">
      <alignment horizontal="center" vertical="center"/>
    </xf>
    <xf numFmtId="164" fontId="60" fillId="7" borderId="25" xfId="0" applyNumberFormat="1" applyFont="1" applyFill="1" applyBorder="1" applyAlignment="1" applyProtection="1">
      <alignment horizontal="center" vertical="center"/>
    </xf>
    <xf numFmtId="0" fontId="35" fillId="7" borderId="13" xfId="0" applyFont="1" applyFill="1" applyBorder="1" applyAlignment="1" applyProtection="1">
      <alignment horizontal="center"/>
    </xf>
    <xf numFmtId="0" fontId="35" fillId="7" borderId="14" xfId="0" applyFont="1" applyFill="1" applyBorder="1" applyAlignment="1" applyProtection="1">
      <alignment horizontal="center"/>
    </xf>
    <xf numFmtId="0" fontId="35" fillId="7" borderId="28" xfId="0" applyFont="1" applyFill="1" applyBorder="1" applyAlignment="1" applyProtection="1">
      <alignment horizontal="center"/>
    </xf>
    <xf numFmtId="49" fontId="35" fillId="7" borderId="13" xfId="0" applyNumberFormat="1" applyFont="1" applyFill="1" applyBorder="1" applyAlignment="1" applyProtection="1">
      <alignment horizontal="center"/>
    </xf>
    <xf numFmtId="0" fontId="35" fillId="7" borderId="14" xfId="0" applyNumberFormat="1" applyFont="1" applyFill="1" applyBorder="1" applyAlignment="1" applyProtection="1">
      <alignment horizontal="center"/>
    </xf>
    <xf numFmtId="0" fontId="35" fillId="7" borderId="28" xfId="0" applyNumberFormat="1" applyFont="1" applyFill="1" applyBorder="1" applyAlignment="1" applyProtection="1">
      <alignment horizontal="center"/>
    </xf>
    <xf numFmtId="0" fontId="35" fillId="7" borderId="13" xfId="0" applyNumberFormat="1" applyFont="1" applyFill="1" applyBorder="1" applyAlignment="1" applyProtection="1">
      <alignment horizontal="center"/>
    </xf>
    <xf numFmtId="0" fontId="99" fillId="7" borderId="13" xfId="0" applyNumberFormat="1" applyFont="1" applyFill="1" applyBorder="1" applyAlignment="1" applyProtection="1">
      <alignment horizontal="center"/>
    </xf>
    <xf numFmtId="0" fontId="99" fillId="7" borderId="14" xfId="0" applyNumberFormat="1" applyFont="1" applyFill="1" applyBorder="1" applyAlignment="1" applyProtection="1">
      <alignment horizontal="center"/>
    </xf>
    <xf numFmtId="0" fontId="99" fillId="7" borderId="28" xfId="0" applyNumberFormat="1" applyFont="1" applyFill="1" applyBorder="1" applyAlignment="1" applyProtection="1">
      <alignment horizontal="center"/>
    </xf>
    <xf numFmtId="164" fontId="4" fillId="7" borderId="13" xfId="0" applyNumberFormat="1" applyFont="1" applyFill="1" applyBorder="1" applyAlignment="1" applyProtection="1">
      <alignment horizontal="center"/>
    </xf>
    <xf numFmtId="164" fontId="4" fillId="7" borderId="28" xfId="0" applyNumberFormat="1" applyFont="1" applyFill="1" applyBorder="1" applyAlignment="1" applyProtection="1">
      <alignment horizontal="center"/>
    </xf>
    <xf numFmtId="164" fontId="0" fillId="7" borderId="13" xfId="0" applyNumberFormat="1" applyFill="1" applyBorder="1" applyAlignment="1" applyProtection="1">
      <alignment horizontal="center" vertical="center"/>
    </xf>
    <xf numFmtId="164" fontId="0" fillId="7" borderId="28" xfId="0" applyNumberFormat="1" applyFill="1" applyBorder="1" applyAlignment="1" applyProtection="1">
      <alignment horizontal="center" vertical="center"/>
    </xf>
    <xf numFmtId="15" fontId="3" fillId="7" borderId="1" xfId="0" applyNumberFormat="1" applyFont="1" applyFill="1" applyBorder="1" applyAlignment="1" applyProtection="1">
      <alignment horizontal="center" vertical="center" wrapText="1"/>
    </xf>
    <xf numFmtId="15" fontId="3" fillId="7" borderId="29" xfId="0" applyNumberFormat="1" applyFont="1" applyFill="1" applyBorder="1" applyAlignment="1" applyProtection="1">
      <alignment horizontal="center" vertical="center" wrapText="1"/>
    </xf>
    <xf numFmtId="15" fontId="3" fillId="7" borderId="25" xfId="0" applyNumberFormat="1" applyFont="1" applyFill="1" applyBorder="1" applyAlignment="1" applyProtection="1">
      <alignment horizontal="center" vertical="center" wrapText="1"/>
    </xf>
    <xf numFmtId="1" fontId="6" fillId="7" borderId="1" xfId="0" applyNumberFormat="1" applyFont="1" applyFill="1" applyBorder="1" applyAlignment="1" applyProtection="1">
      <alignment horizontal="center" vertical="center" wrapText="1"/>
    </xf>
    <xf numFmtId="1" fontId="6" fillId="7" borderId="29" xfId="0" applyNumberFormat="1" applyFont="1" applyFill="1" applyBorder="1" applyAlignment="1" applyProtection="1">
      <alignment horizontal="center" vertical="center" wrapText="1"/>
    </xf>
    <xf numFmtId="1" fontId="6" fillId="7" borderId="25" xfId="0" applyNumberFormat="1" applyFont="1" applyFill="1" applyBorder="1" applyAlignment="1" applyProtection="1">
      <alignment horizontal="center" vertical="center" wrapText="1"/>
    </xf>
    <xf numFmtId="0" fontId="130" fillId="9" borderId="0" xfId="0" applyFont="1" applyFill="1" applyBorder="1" applyAlignment="1" applyProtection="1">
      <protection locked="0"/>
    </xf>
    <xf numFmtId="0" fontId="1" fillId="9" borderId="0" xfId="0" applyFont="1" applyFill="1" applyBorder="1" applyAlignment="1" applyProtection="1">
      <alignment horizontal="center"/>
    </xf>
    <xf numFmtId="0" fontId="14" fillId="10" borderId="2" xfId="3" applyFont="1" applyFill="1" applyBorder="1" applyAlignment="1" applyProtection="1">
      <alignment horizontal="center"/>
    </xf>
    <xf numFmtId="0" fontId="14" fillId="10" borderId="13" xfId="3" applyFont="1" applyFill="1" applyBorder="1" applyAlignment="1" applyProtection="1">
      <alignment horizontal="center"/>
    </xf>
    <xf numFmtId="0" fontId="3" fillId="7" borderId="1" xfId="0" applyFont="1" applyFill="1" applyBorder="1" applyAlignment="1" applyProtection="1">
      <alignment horizontal="center" vertical="center" wrapText="1"/>
    </xf>
    <xf numFmtId="0" fontId="0" fillId="7" borderId="29" xfId="0" applyFill="1" applyBorder="1" applyAlignment="1" applyProtection="1">
      <alignment horizontal="center" vertical="center" wrapText="1"/>
    </xf>
    <xf numFmtId="0" fontId="0" fillId="7" borderId="25" xfId="0" applyFill="1" applyBorder="1" applyAlignment="1" applyProtection="1">
      <alignment horizontal="center" vertical="center" wrapText="1"/>
    </xf>
    <xf numFmtId="15" fontId="6" fillId="7" borderId="1" xfId="0" applyNumberFormat="1" applyFont="1" applyFill="1" applyBorder="1" applyAlignment="1" applyProtection="1">
      <alignment horizontal="center" vertical="center" wrapText="1"/>
    </xf>
    <xf numFmtId="15" fontId="6" fillId="7" borderId="29" xfId="0" applyNumberFormat="1" applyFont="1" applyFill="1" applyBorder="1" applyAlignment="1" applyProtection="1">
      <alignment horizontal="center" vertical="center" wrapText="1"/>
    </xf>
    <xf numFmtId="15" fontId="6" fillId="7" borderId="25" xfId="0" applyNumberFormat="1" applyFont="1" applyFill="1" applyBorder="1" applyAlignment="1" applyProtection="1">
      <alignment horizontal="center" vertical="center" wrapText="1"/>
    </xf>
    <xf numFmtId="0" fontId="56" fillId="9" borderId="0" xfId="0" applyFont="1" applyFill="1" applyBorder="1" applyAlignment="1" applyProtection="1">
      <alignment horizontal="right"/>
    </xf>
    <xf numFmtId="0" fontId="56" fillId="9" borderId="0" xfId="0" applyFont="1" applyFill="1" applyAlignment="1" applyProtection="1">
      <alignment horizontal="right"/>
    </xf>
    <xf numFmtId="0" fontId="97" fillId="7" borderId="1" xfId="0" applyFont="1" applyFill="1" applyBorder="1" applyAlignment="1" applyProtection="1">
      <alignment horizontal="center" vertical="center"/>
      <protection locked="0"/>
    </xf>
    <xf numFmtId="0" fontId="97" fillId="7" borderId="25" xfId="0" applyFont="1" applyFill="1" applyBorder="1" applyAlignment="1" applyProtection="1">
      <alignment horizontal="center" vertical="center"/>
      <protection locked="0"/>
    </xf>
    <xf numFmtId="0" fontId="25" fillId="7" borderId="1" xfId="0" applyFont="1" applyFill="1" applyBorder="1" applyAlignment="1" applyProtection="1">
      <alignment horizontal="left"/>
      <protection locked="0"/>
    </xf>
    <xf numFmtId="0" fontId="0" fillId="7" borderId="29" xfId="0" applyFill="1" applyBorder="1" applyAlignment="1" applyProtection="1">
      <alignment horizontal="left"/>
      <protection locked="0"/>
    </xf>
    <xf numFmtId="0" fontId="0" fillId="7" borderId="25" xfId="0" applyFill="1" applyBorder="1" applyAlignment="1" applyProtection="1">
      <alignment horizontal="left"/>
      <protection locked="0"/>
    </xf>
    <xf numFmtId="0" fontId="111" fillId="9" borderId="0" xfId="0" applyFont="1" applyFill="1" applyBorder="1" applyAlignment="1" applyProtection="1">
      <alignment horizontal="center"/>
      <protection locked="0"/>
    </xf>
    <xf numFmtId="0" fontId="23" fillId="9" borderId="0" xfId="3" applyFont="1" applyFill="1" applyAlignment="1" applyProtection="1">
      <alignment horizontal="center"/>
    </xf>
    <xf numFmtId="0" fontId="23" fillId="9" borderId="8" xfId="3" applyFont="1" applyFill="1" applyBorder="1" applyAlignment="1" applyProtection="1">
      <alignment horizontal="center"/>
    </xf>
    <xf numFmtId="0" fontId="23" fillId="9" borderId="0" xfId="3" applyFont="1" applyFill="1" applyBorder="1" applyAlignment="1" applyProtection="1">
      <alignment horizontal="center"/>
    </xf>
    <xf numFmtId="0" fontId="162" fillId="7" borderId="2" xfId="3" applyFont="1" applyFill="1" applyBorder="1" applyAlignment="1">
      <alignment horizontal="left"/>
    </xf>
    <xf numFmtId="2" fontId="4" fillId="7" borderId="2" xfId="3" applyNumberFormat="1" applyFont="1" applyFill="1" applyBorder="1" applyAlignment="1" applyProtection="1">
      <alignment horizontal="left"/>
    </xf>
    <xf numFmtId="0" fontId="1" fillId="9" borderId="0" xfId="0" applyFont="1" applyFill="1" applyAlignment="1">
      <alignment horizontal="left" vertical="center" wrapText="1"/>
    </xf>
    <xf numFmtId="0" fontId="109" fillId="9" borderId="0" xfId="0" applyFont="1" applyFill="1" applyAlignment="1">
      <alignment horizontal="left" vertical="center" wrapText="1"/>
    </xf>
    <xf numFmtId="0" fontId="108" fillId="7" borderId="1" xfId="0" applyFont="1" applyFill="1" applyBorder="1" applyAlignment="1" applyProtection="1">
      <alignment horizontal="center"/>
    </xf>
    <xf numFmtId="0" fontId="108" fillId="7" borderId="29" xfId="0" applyFont="1" applyFill="1" applyBorder="1" applyAlignment="1" applyProtection="1">
      <alignment horizontal="center"/>
    </xf>
    <xf numFmtId="0" fontId="108" fillId="7" borderId="25" xfId="0" applyFont="1" applyFill="1" applyBorder="1" applyAlignment="1" applyProtection="1">
      <alignment horizontal="center"/>
    </xf>
    <xf numFmtId="171" fontId="178" fillId="7" borderId="13" xfId="0" applyNumberFormat="1" applyFont="1" applyFill="1" applyBorder="1" applyAlignment="1" applyProtection="1">
      <alignment horizontal="center"/>
    </xf>
    <xf numFmtId="171" fontId="178" fillId="7" borderId="28" xfId="0" applyNumberFormat="1" applyFont="1" applyFill="1" applyBorder="1" applyAlignment="1" applyProtection="1">
      <alignment horizontal="center"/>
    </xf>
    <xf numFmtId="164" fontId="1" fillId="7" borderId="13" xfId="0" applyNumberFormat="1" applyFont="1" applyFill="1" applyBorder="1" applyAlignment="1" applyProtection="1">
      <alignment horizontal="center" vertical="center"/>
    </xf>
    <xf numFmtId="164" fontId="1" fillId="7" borderId="28" xfId="0" applyNumberFormat="1" applyFont="1" applyFill="1" applyBorder="1" applyAlignment="1" applyProtection="1">
      <alignment horizontal="center" vertical="center"/>
    </xf>
    <xf numFmtId="171" fontId="82" fillId="7" borderId="1" xfId="0" applyNumberFormat="1" applyFont="1" applyFill="1" applyBorder="1" applyAlignment="1" applyProtection="1">
      <alignment horizontal="center"/>
    </xf>
    <xf numFmtId="171" fontId="82" fillId="7" borderId="29" xfId="0" applyNumberFormat="1" applyFont="1" applyFill="1" applyBorder="1" applyAlignment="1" applyProtection="1">
      <alignment horizontal="center"/>
    </xf>
    <xf numFmtId="171" fontId="82" fillId="7" borderId="25" xfId="0" applyNumberFormat="1" applyFont="1" applyFill="1" applyBorder="1" applyAlignment="1" applyProtection="1">
      <alignment horizontal="center"/>
    </xf>
    <xf numFmtId="0" fontId="93" fillId="7" borderId="4" xfId="0" quotePrefix="1" applyFont="1" applyFill="1" applyBorder="1" applyAlignment="1" applyProtection="1">
      <alignment horizontal="center" vertical="center" wrapText="1"/>
    </xf>
    <xf numFmtId="0" fontId="93" fillId="7" borderId="6" xfId="0" applyFont="1" applyFill="1" applyBorder="1" applyAlignment="1" applyProtection="1">
      <alignment horizontal="center" vertical="center" wrapText="1"/>
    </xf>
    <xf numFmtId="0" fontId="93" fillId="7" borderId="9" xfId="0" applyFont="1" applyFill="1" applyBorder="1" applyAlignment="1" applyProtection="1">
      <alignment horizontal="center" vertical="center" wrapText="1"/>
    </xf>
    <xf numFmtId="0" fontId="93" fillId="7" borderId="10" xfId="0" applyFont="1" applyFill="1" applyBorder="1" applyAlignment="1" applyProtection="1">
      <alignment horizontal="center" vertical="center" wrapText="1"/>
    </xf>
    <xf numFmtId="0" fontId="46" fillId="9" borderId="13" xfId="0" applyFont="1" applyFill="1" applyBorder="1" applyAlignment="1" applyProtection="1">
      <alignment horizontal="right" vertical="center"/>
    </xf>
    <xf numFmtId="0" fontId="46" fillId="9" borderId="14" xfId="0" applyFont="1" applyFill="1" applyBorder="1" applyAlignment="1" applyProtection="1">
      <alignment horizontal="right" vertical="center"/>
    </xf>
    <xf numFmtId="2" fontId="164" fillId="9" borderId="0" xfId="0" applyNumberFormat="1" applyFont="1" applyFill="1" applyBorder="1" applyAlignment="1" applyProtection="1">
      <alignment horizontal="center" vertical="center"/>
    </xf>
    <xf numFmtId="49" fontId="35" fillId="7" borderId="14" xfId="0" applyNumberFormat="1" applyFont="1" applyFill="1" applyBorder="1" applyAlignment="1" applyProtection="1">
      <alignment horizontal="center"/>
    </xf>
    <xf numFmtId="49" fontId="35" fillId="7" borderId="28" xfId="0" applyNumberFormat="1" applyFont="1" applyFill="1" applyBorder="1" applyAlignment="1" applyProtection="1">
      <alignment horizontal="center"/>
    </xf>
    <xf numFmtId="171" fontId="1" fillId="9" borderId="13" xfId="0" applyNumberFormat="1" applyFont="1" applyFill="1" applyBorder="1" applyAlignment="1" applyProtection="1">
      <alignment horizontal="center" vertical="center"/>
    </xf>
    <xf numFmtId="171" fontId="1" fillId="9" borderId="28" xfId="0" applyNumberFormat="1" applyFont="1" applyFill="1" applyBorder="1" applyAlignment="1" applyProtection="1">
      <alignment horizontal="center" vertical="center"/>
    </xf>
    <xf numFmtId="0" fontId="103" fillId="9" borderId="0" xfId="3" applyFont="1" applyFill="1" applyAlignment="1" applyProtection="1">
      <alignment horizontal="center"/>
    </xf>
    <xf numFmtId="0" fontId="17" fillId="9" borderId="0" xfId="3" applyFont="1" applyFill="1" applyAlignment="1" applyProtection="1">
      <alignment horizontal="center"/>
    </xf>
    <xf numFmtId="0" fontId="17" fillId="9" borderId="8" xfId="3" applyFont="1" applyFill="1" applyBorder="1" applyAlignment="1" applyProtection="1">
      <alignment horizontal="center"/>
    </xf>
    <xf numFmtId="171" fontId="104" fillId="7" borderId="1" xfId="0" applyNumberFormat="1" applyFont="1" applyFill="1" applyBorder="1" applyAlignment="1" applyProtection="1">
      <alignment horizontal="center" vertical="center"/>
    </xf>
    <xf numFmtId="171" fontId="104" fillId="7" borderId="29" xfId="0" applyNumberFormat="1" applyFont="1" applyFill="1" applyBorder="1" applyAlignment="1" applyProtection="1">
      <alignment horizontal="center" vertical="center"/>
    </xf>
    <xf numFmtId="171" fontId="104" fillId="7" borderId="25" xfId="0" applyNumberFormat="1" applyFont="1" applyFill="1" applyBorder="1" applyAlignment="1" applyProtection="1">
      <alignment horizontal="center" vertical="center"/>
    </xf>
    <xf numFmtId="49" fontId="4" fillId="7" borderId="1" xfId="0" applyNumberFormat="1" applyFont="1" applyFill="1" applyBorder="1" applyAlignment="1" applyProtection="1">
      <alignment horizontal="center"/>
      <protection locked="0"/>
    </xf>
    <xf numFmtId="0" fontId="19" fillId="9" borderId="7" xfId="0" applyFont="1" applyFill="1" applyBorder="1" applyAlignment="1" applyProtection="1">
      <alignment horizontal="center"/>
    </xf>
    <xf numFmtId="171" fontId="94" fillId="7" borderId="1" xfId="0" applyNumberFormat="1" applyFont="1" applyFill="1" applyBorder="1" applyAlignment="1" applyProtection="1">
      <alignment horizontal="center"/>
    </xf>
    <xf numFmtId="171" fontId="94" fillId="7" borderId="25" xfId="0" applyNumberFormat="1" applyFont="1" applyFill="1" applyBorder="1" applyAlignment="1" applyProtection="1">
      <alignment horizontal="center"/>
    </xf>
    <xf numFmtId="171" fontId="77" fillId="7" borderId="1" xfId="0" applyNumberFormat="1" applyFont="1" applyFill="1" applyBorder="1" applyAlignment="1" applyProtection="1">
      <alignment horizontal="center" vertical="center"/>
    </xf>
    <xf numFmtId="171" fontId="77" fillId="7" borderId="29" xfId="0" applyNumberFormat="1" applyFont="1" applyFill="1" applyBorder="1" applyAlignment="1" applyProtection="1">
      <alignment horizontal="center" vertical="center"/>
    </xf>
    <xf numFmtId="171" fontId="77" fillId="7" borderId="25" xfId="0" applyNumberFormat="1" applyFont="1" applyFill="1" applyBorder="1" applyAlignment="1" applyProtection="1">
      <alignment horizontal="center" vertical="center"/>
    </xf>
    <xf numFmtId="171" fontId="2" fillId="7" borderId="1" xfId="0" applyNumberFormat="1" applyFont="1" applyFill="1" applyBorder="1" applyAlignment="1" applyProtection="1">
      <alignment horizontal="center" vertical="center"/>
    </xf>
    <xf numFmtId="171" fontId="2" fillId="7" borderId="29" xfId="0" applyNumberFormat="1" applyFont="1" applyFill="1" applyBorder="1" applyAlignment="1" applyProtection="1">
      <alignment horizontal="center" vertical="center"/>
    </xf>
    <xf numFmtId="171" fontId="2" fillId="7" borderId="25" xfId="0" applyNumberFormat="1" applyFont="1" applyFill="1" applyBorder="1" applyAlignment="1" applyProtection="1">
      <alignment horizontal="center" vertical="center"/>
    </xf>
    <xf numFmtId="171" fontId="0" fillId="0" borderId="29" xfId="0" applyNumberFormat="1" applyBorder="1"/>
    <xf numFmtId="171" fontId="0" fillId="0" borderId="25" xfId="0" applyNumberFormat="1" applyBorder="1"/>
    <xf numFmtId="171" fontId="82" fillId="7" borderId="1" xfId="0" applyNumberFormat="1" applyFont="1" applyFill="1" applyBorder="1" applyAlignment="1" applyProtection="1">
      <alignment horizontal="center" vertical="center"/>
    </xf>
    <xf numFmtId="171" fontId="82" fillId="7" borderId="29" xfId="0" applyNumberFormat="1" applyFont="1" applyFill="1" applyBorder="1" applyAlignment="1" applyProtection="1">
      <alignment horizontal="center" vertical="center"/>
    </xf>
    <xf numFmtId="171" fontId="82" fillId="7" borderId="25" xfId="0" applyNumberFormat="1" applyFont="1" applyFill="1" applyBorder="1" applyAlignment="1" applyProtection="1">
      <alignment horizontal="center" vertical="center"/>
    </xf>
    <xf numFmtId="171" fontId="94" fillId="7" borderId="29" xfId="0" applyNumberFormat="1" applyFont="1" applyFill="1" applyBorder="1" applyAlignment="1" applyProtection="1">
      <alignment horizontal="center"/>
    </xf>
    <xf numFmtId="0" fontId="136" fillId="9" borderId="13" xfId="0" applyFont="1" applyFill="1" applyBorder="1" applyAlignment="1" applyProtection="1">
      <alignment horizontal="center" vertical="center"/>
    </xf>
    <xf numFmtId="0" fontId="136" fillId="9" borderId="14" xfId="0" applyFont="1" applyFill="1" applyBorder="1" applyAlignment="1" applyProtection="1">
      <alignment horizontal="center" vertical="center"/>
    </xf>
    <xf numFmtId="0" fontId="136" fillId="9" borderId="28" xfId="0" applyFont="1" applyFill="1" applyBorder="1" applyAlignment="1" applyProtection="1">
      <alignment horizontal="center" vertical="center"/>
    </xf>
    <xf numFmtId="0" fontId="4" fillId="7" borderId="1" xfId="0" applyFont="1" applyFill="1" applyBorder="1" applyAlignment="1" applyProtection="1">
      <alignment horizontal="center" vertical="center" wrapText="1"/>
    </xf>
    <xf numFmtId="0" fontId="5" fillId="7" borderId="29" xfId="0" applyFont="1" applyFill="1" applyBorder="1" applyAlignment="1" applyProtection="1">
      <alignment horizontal="center" vertical="center" wrapText="1"/>
    </xf>
    <xf numFmtId="0" fontId="5" fillId="7" borderId="25" xfId="0" applyFont="1" applyFill="1" applyBorder="1" applyAlignment="1" applyProtection="1">
      <alignment horizontal="center" vertical="center" wrapText="1"/>
    </xf>
    <xf numFmtId="174" fontId="4" fillId="7" borderId="1" xfId="0" applyNumberFormat="1" applyFont="1" applyFill="1" applyBorder="1" applyAlignment="1" applyProtection="1">
      <alignment horizontal="center" vertical="center" wrapText="1"/>
    </xf>
    <xf numFmtId="174" fontId="5" fillId="7" borderId="29" xfId="0" applyNumberFormat="1" applyFont="1" applyFill="1" applyBorder="1" applyAlignment="1" applyProtection="1">
      <alignment horizontal="center" vertical="center" wrapText="1"/>
    </xf>
    <xf numFmtId="174" fontId="5" fillId="7" borderId="25" xfId="0" applyNumberFormat="1" applyFont="1" applyFill="1" applyBorder="1" applyAlignment="1" applyProtection="1">
      <alignment horizontal="center" vertical="center" wrapText="1"/>
    </xf>
    <xf numFmtId="0" fontId="3" fillId="7" borderId="29" xfId="0" applyFont="1" applyFill="1" applyBorder="1" applyAlignment="1" applyProtection="1">
      <alignment horizontal="center" vertical="center" wrapText="1"/>
    </xf>
    <xf numFmtId="0" fontId="3" fillId="7" borderId="25" xfId="0" applyFont="1" applyFill="1" applyBorder="1" applyAlignment="1" applyProtection="1">
      <alignment horizontal="center" vertical="center" wrapText="1"/>
    </xf>
    <xf numFmtId="164" fontId="6" fillId="9" borderId="0" xfId="0" applyNumberFormat="1" applyFont="1" applyFill="1" applyBorder="1" applyAlignment="1" applyProtection="1">
      <alignment horizontal="center" vertical="center" wrapText="1"/>
    </xf>
    <xf numFmtId="164" fontId="7" fillId="9" borderId="0" xfId="0" applyNumberFormat="1" applyFont="1" applyFill="1" applyBorder="1" applyAlignment="1" applyProtection="1">
      <alignment horizontal="center" vertical="center" wrapText="1"/>
    </xf>
    <xf numFmtId="171" fontId="4" fillId="7" borderId="13" xfId="0" applyNumberFormat="1" applyFont="1" applyFill="1" applyBorder="1" applyAlignment="1" applyProtection="1">
      <alignment horizontal="center"/>
    </xf>
    <xf numFmtId="171" fontId="4" fillId="7" borderId="28" xfId="0" applyNumberFormat="1" applyFont="1" applyFill="1" applyBorder="1" applyAlignment="1" applyProtection="1">
      <alignment horizontal="center"/>
    </xf>
    <xf numFmtId="171" fontId="6" fillId="7" borderId="1" xfId="0" applyNumberFormat="1" applyFont="1" applyFill="1" applyBorder="1" applyAlignment="1" applyProtection="1">
      <alignment horizontal="center" vertical="center" wrapText="1"/>
    </xf>
    <xf numFmtId="171" fontId="6" fillId="7" borderId="29" xfId="0" applyNumberFormat="1" applyFont="1" applyFill="1" applyBorder="1" applyAlignment="1" applyProtection="1">
      <alignment horizontal="center" vertical="center" wrapText="1"/>
    </xf>
    <xf numFmtId="171" fontId="6" fillId="7" borderId="25" xfId="0" applyNumberFormat="1" applyFont="1" applyFill="1" applyBorder="1" applyAlignment="1" applyProtection="1">
      <alignment horizontal="center" vertical="center" wrapText="1"/>
    </xf>
    <xf numFmtId="164" fontId="61" fillId="7" borderId="1" xfId="2" applyNumberFormat="1" applyFont="1" applyFill="1" applyBorder="1" applyAlignment="1" applyProtection="1">
      <alignment horizontal="center" wrapText="1"/>
    </xf>
    <xf numFmtId="164" fontId="61" fillId="7" borderId="29" xfId="0" applyNumberFormat="1" applyFont="1" applyFill="1" applyBorder="1" applyAlignment="1" applyProtection="1">
      <alignment horizontal="center" wrapText="1"/>
    </xf>
    <xf numFmtId="164" fontId="61" fillId="7" borderId="25" xfId="0" applyNumberFormat="1" applyFont="1" applyFill="1" applyBorder="1" applyAlignment="1" applyProtection="1">
      <alignment horizontal="center" wrapText="1"/>
    </xf>
    <xf numFmtId="171" fontId="61" fillId="7" borderId="1" xfId="2" applyNumberFormat="1" applyFont="1" applyFill="1" applyBorder="1" applyAlignment="1" applyProtection="1">
      <alignment horizontal="center" wrapText="1"/>
    </xf>
    <xf numFmtId="171" fontId="61" fillId="7" borderId="29" xfId="0" applyNumberFormat="1" applyFont="1" applyFill="1" applyBorder="1" applyAlignment="1" applyProtection="1">
      <alignment horizontal="center" wrapText="1"/>
    </xf>
    <xf numFmtId="171" fontId="61" fillId="7" borderId="25" xfId="0" applyNumberFormat="1" applyFont="1" applyFill="1" applyBorder="1" applyAlignment="1" applyProtection="1">
      <alignment horizontal="center" wrapText="1"/>
    </xf>
    <xf numFmtId="0" fontId="73" fillId="7" borderId="4" xfId="0" applyFont="1" applyFill="1" applyBorder="1" applyAlignment="1" applyProtection="1">
      <alignment horizontal="center" vertical="center" wrapText="1"/>
      <protection locked="0"/>
    </xf>
    <xf numFmtId="0" fontId="73" fillId="7" borderId="5" xfId="0" applyFont="1" applyFill="1" applyBorder="1" applyAlignment="1" applyProtection="1">
      <alignment horizontal="center" vertical="center" wrapText="1"/>
      <protection locked="0"/>
    </xf>
    <xf numFmtId="0" fontId="73" fillId="7" borderId="6" xfId="0" applyFont="1" applyFill="1" applyBorder="1" applyAlignment="1" applyProtection="1">
      <alignment horizontal="center" vertical="center" wrapText="1"/>
      <protection locked="0"/>
    </xf>
    <xf numFmtId="0" fontId="73" fillId="7" borderId="7" xfId="0"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wrapText="1"/>
      <protection locked="0"/>
    </xf>
    <xf numFmtId="0" fontId="73" fillId="7" borderId="8" xfId="0" applyFont="1" applyFill="1" applyBorder="1" applyAlignment="1" applyProtection="1">
      <alignment horizontal="center" vertical="center" wrapText="1"/>
      <protection locked="0"/>
    </xf>
    <xf numFmtId="0" fontId="73" fillId="7" borderId="9" xfId="0" applyFont="1" applyFill="1" applyBorder="1" applyAlignment="1" applyProtection="1">
      <alignment horizontal="center" vertical="center" wrapText="1"/>
      <protection locked="0"/>
    </xf>
    <xf numFmtId="0" fontId="73" fillId="7" borderId="3" xfId="0" applyFont="1" applyFill="1" applyBorder="1" applyAlignment="1" applyProtection="1">
      <alignment horizontal="center" vertical="center" wrapText="1"/>
      <protection locked="0"/>
    </xf>
    <xf numFmtId="0" fontId="73" fillId="7" borderId="10" xfId="0" applyFont="1" applyFill="1" applyBorder="1" applyAlignment="1" applyProtection="1">
      <alignment horizontal="center" vertical="center" wrapText="1"/>
      <protection locked="0"/>
    </xf>
    <xf numFmtId="0" fontId="64" fillId="9" borderId="0" xfId="3" applyFont="1" applyFill="1" applyBorder="1" applyAlignment="1" applyProtection="1">
      <alignment horizontal="center" vertical="top" wrapText="1"/>
    </xf>
    <xf numFmtId="167" fontId="128" fillId="9" borderId="18" xfId="2" applyNumberFormat="1" applyFont="1" applyFill="1" applyBorder="1" applyAlignment="1" applyProtection="1">
      <alignment horizontal="center" wrapText="1"/>
    </xf>
    <xf numFmtId="167" fontId="128" fillId="9" borderId="0" xfId="2" applyNumberFormat="1" applyFont="1" applyFill="1" applyBorder="1" applyAlignment="1" applyProtection="1">
      <alignment horizontal="center" wrapText="1"/>
    </xf>
    <xf numFmtId="167" fontId="63" fillId="9" borderId="0" xfId="2" applyNumberFormat="1" applyFont="1" applyFill="1" applyBorder="1" applyAlignment="1" applyProtection="1">
      <alignment horizontal="center" wrapText="1"/>
    </xf>
    <xf numFmtId="167" fontId="63" fillId="9" borderId="0" xfId="2" applyNumberFormat="1" applyFont="1" applyFill="1" applyAlignment="1" applyProtection="1">
      <alignment horizontal="center" wrapText="1"/>
    </xf>
    <xf numFmtId="0" fontId="101" fillId="9" borderId="5" xfId="0" applyFont="1" applyFill="1" applyBorder="1" applyAlignment="1" applyProtection="1">
      <alignment horizontal="center" vertical="center" wrapText="1"/>
    </xf>
    <xf numFmtId="0" fontId="102" fillId="9" borderId="5" xfId="0" applyFont="1" applyFill="1" applyBorder="1" applyAlignment="1" applyProtection="1">
      <alignment horizontal="center" vertical="center" wrapText="1"/>
    </xf>
    <xf numFmtId="0" fontId="66" fillId="7" borderId="1" xfId="0" applyNumberFormat="1" applyFont="1" applyFill="1" applyBorder="1" applyAlignment="1" applyProtection="1">
      <alignment horizontal="center" vertical="center" wrapText="1"/>
      <protection locked="0"/>
    </xf>
    <xf numFmtId="0" fontId="66" fillId="7" borderId="29" xfId="0" applyNumberFormat="1" applyFont="1" applyFill="1" applyBorder="1" applyAlignment="1" applyProtection="1">
      <alignment horizontal="center" vertical="center" wrapText="1"/>
      <protection locked="0"/>
    </xf>
    <xf numFmtId="0" fontId="66" fillId="7" borderId="25" xfId="0" applyNumberFormat="1" applyFont="1" applyFill="1" applyBorder="1" applyAlignment="1" applyProtection="1">
      <alignment horizontal="center" vertical="center" wrapText="1"/>
      <protection locked="0"/>
    </xf>
    <xf numFmtId="0" fontId="63" fillId="9" borderId="7" xfId="0" applyFont="1" applyFill="1" applyBorder="1" applyAlignment="1" applyProtection="1">
      <alignment horizontal="right" vertical="center" wrapText="1"/>
    </xf>
    <xf numFmtId="0" fontId="63" fillId="9" borderId="8" xfId="0" applyFont="1" applyFill="1" applyBorder="1" applyAlignment="1" applyProtection="1">
      <alignment horizontal="right" vertical="center" wrapText="1"/>
    </xf>
    <xf numFmtId="0" fontId="63" fillId="9" borderId="0" xfId="0" applyFont="1" applyFill="1" applyBorder="1" applyAlignment="1" applyProtection="1">
      <alignment horizontal="right" vertical="center" wrapText="1"/>
    </xf>
    <xf numFmtId="169" fontId="70" fillId="7" borderId="1" xfId="0" applyNumberFormat="1" applyFont="1" applyFill="1" applyBorder="1" applyAlignment="1" applyProtection="1">
      <alignment horizontal="center" vertical="center"/>
    </xf>
    <xf numFmtId="169" fontId="70" fillId="7" borderId="25" xfId="0" applyNumberFormat="1" applyFont="1" applyFill="1" applyBorder="1" applyAlignment="1" applyProtection="1">
      <alignment horizontal="center" vertical="center"/>
    </xf>
    <xf numFmtId="0" fontId="69" fillId="7" borderId="1" xfId="0" applyNumberFormat="1" applyFont="1" applyFill="1" applyBorder="1" applyAlignment="1" applyProtection="1">
      <alignment horizontal="left" vertical="top" wrapText="1"/>
    </xf>
    <xf numFmtId="0" fontId="69" fillId="7" borderId="29" xfId="0" applyNumberFormat="1" applyFont="1" applyFill="1" applyBorder="1" applyAlignment="1" applyProtection="1">
      <alignment horizontal="left" vertical="top" wrapText="1"/>
    </xf>
    <xf numFmtId="0" fontId="69" fillId="7" borderId="25" xfId="0" applyNumberFormat="1" applyFont="1" applyFill="1" applyBorder="1" applyAlignment="1" applyProtection="1">
      <alignment horizontal="left" vertical="top" wrapText="1"/>
    </xf>
    <xf numFmtId="0" fontId="63" fillId="9" borderId="0" xfId="0" applyFont="1" applyFill="1" applyBorder="1" applyAlignment="1" applyProtection="1">
      <alignment horizontal="center" wrapText="1"/>
    </xf>
    <xf numFmtId="0" fontId="63" fillId="9" borderId="5" xfId="0" applyFont="1" applyFill="1" applyBorder="1" applyAlignment="1" applyProtection="1">
      <alignment horizontal="center" wrapText="1"/>
    </xf>
    <xf numFmtId="171" fontId="19" fillId="7" borderId="13" xfId="0" applyNumberFormat="1" applyFont="1" applyFill="1" applyBorder="1" applyAlignment="1" applyProtection="1">
      <alignment horizontal="center"/>
      <protection locked="0"/>
    </xf>
    <xf numFmtId="171" fontId="19" fillId="7" borderId="14" xfId="0" applyNumberFormat="1" applyFont="1" applyFill="1" applyBorder="1" applyAlignment="1" applyProtection="1">
      <alignment horizontal="center"/>
      <protection locked="0"/>
    </xf>
    <xf numFmtId="171" fontId="19" fillId="7" borderId="28" xfId="0" applyNumberFormat="1" applyFont="1" applyFill="1" applyBorder="1" applyAlignment="1" applyProtection="1">
      <alignment horizontal="center"/>
      <protection locked="0"/>
    </xf>
    <xf numFmtId="0" fontId="0" fillId="9" borderId="5" xfId="0" applyFill="1" applyBorder="1" applyAlignment="1" applyProtection="1">
      <alignment horizontal="center"/>
    </xf>
    <xf numFmtId="0" fontId="13" fillId="9" borderId="13" xfId="0" applyFont="1" applyFill="1" applyBorder="1" applyAlignment="1" applyProtection="1">
      <alignment horizontal="center" vertical="center" wrapText="1"/>
    </xf>
    <xf numFmtId="0" fontId="13" fillId="9" borderId="14" xfId="0" applyFont="1" applyFill="1" applyBorder="1" applyAlignment="1" applyProtection="1">
      <alignment horizontal="center" vertical="center" wrapText="1"/>
    </xf>
    <xf numFmtId="0" fontId="13" fillId="9" borderId="28" xfId="0" applyFont="1" applyFill="1" applyBorder="1" applyAlignment="1" applyProtection="1">
      <alignment horizontal="center" vertical="center" wrapText="1"/>
    </xf>
    <xf numFmtId="0" fontId="161" fillId="9" borderId="0" xfId="0" applyFont="1" applyFill="1" applyBorder="1" applyAlignment="1" applyProtection="1">
      <alignment horizontal="center"/>
    </xf>
    <xf numFmtId="166" fontId="19" fillId="9" borderId="0" xfId="0" applyNumberFormat="1" applyFont="1" applyFill="1" applyBorder="1" applyAlignment="1" applyProtection="1">
      <alignment horizontal="center"/>
    </xf>
    <xf numFmtId="1" fontId="6" fillId="7" borderId="1" xfId="0" applyNumberFormat="1" applyFont="1" applyFill="1" applyBorder="1" applyAlignment="1" applyProtection="1">
      <alignment horizontal="center" vertical="center" wrapText="1"/>
      <protection locked="0"/>
    </xf>
    <xf numFmtId="1" fontId="7" fillId="7" borderId="29" xfId="0" applyNumberFormat="1" applyFont="1" applyFill="1" applyBorder="1" applyAlignment="1" applyProtection="1">
      <alignment horizontal="center" vertical="center" wrapText="1"/>
      <protection locked="0"/>
    </xf>
    <xf numFmtId="1" fontId="7" fillId="7" borderId="25" xfId="0" applyNumberFormat="1" applyFont="1" applyFill="1" applyBorder="1" applyAlignment="1" applyProtection="1">
      <alignment horizontal="center" vertical="center" wrapText="1"/>
      <protection locked="0"/>
    </xf>
    <xf numFmtId="0" fontId="13" fillId="9" borderId="13" xfId="0" applyFont="1" applyFill="1" applyBorder="1" applyAlignment="1" applyProtection="1">
      <alignment horizontal="center" vertical="center"/>
    </xf>
    <xf numFmtId="0" fontId="13" fillId="9" borderId="14" xfId="0" applyFont="1" applyFill="1" applyBorder="1" applyAlignment="1" applyProtection="1">
      <alignment horizontal="center" vertical="center"/>
    </xf>
    <xf numFmtId="0" fontId="13" fillId="9" borderId="28" xfId="0" applyFont="1" applyFill="1" applyBorder="1" applyAlignment="1" applyProtection="1">
      <alignment horizontal="center" vertical="center"/>
    </xf>
    <xf numFmtId="168" fontId="1" fillId="9" borderId="27" xfId="2" applyNumberFormat="1" applyFont="1" applyFill="1" applyBorder="1" applyAlignment="1" applyProtection="1">
      <alignment horizontal="center"/>
    </xf>
    <xf numFmtId="0" fontId="46" fillId="9" borderId="0" xfId="0" applyFont="1" applyFill="1" applyBorder="1" applyAlignment="1" applyProtection="1">
      <alignment horizontal="right"/>
    </xf>
    <xf numFmtId="0" fontId="2" fillId="7" borderId="13"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0" fontId="2" fillId="7" borderId="28" xfId="0" applyFont="1" applyFill="1" applyBorder="1" applyAlignment="1" applyProtection="1">
      <alignment horizontal="center" vertical="center" wrapText="1"/>
    </xf>
    <xf numFmtId="0" fontId="1" fillId="9" borderId="13" xfId="0" applyFont="1" applyFill="1" applyBorder="1" applyAlignment="1" applyProtection="1">
      <alignment horizontal="left" wrapText="1"/>
    </xf>
    <xf numFmtId="0" fontId="49" fillId="9" borderId="2" xfId="0" applyFont="1" applyFill="1" applyBorder="1" applyAlignment="1" applyProtection="1">
      <alignment horizontal="center" wrapText="1"/>
    </xf>
    <xf numFmtId="0" fontId="1" fillId="9" borderId="13" xfId="0" applyFont="1" applyFill="1" applyBorder="1" applyAlignment="1" applyProtection="1">
      <alignment horizontal="right"/>
    </xf>
    <xf numFmtId="0" fontId="0" fillId="9" borderId="14" xfId="0" applyFill="1" applyBorder="1" applyAlignment="1" applyProtection="1">
      <alignment horizontal="right"/>
    </xf>
    <xf numFmtId="0" fontId="0" fillId="9" borderId="28" xfId="0" applyFill="1" applyBorder="1" applyAlignment="1" applyProtection="1">
      <alignment horizontal="right"/>
    </xf>
    <xf numFmtId="0" fontId="0" fillId="7" borderId="13" xfId="0" applyFill="1" applyBorder="1" applyAlignment="1" applyProtection="1">
      <alignment horizontal="left" vertical="top" wrapText="1"/>
    </xf>
    <xf numFmtId="0" fontId="0" fillId="7" borderId="14" xfId="0" applyFill="1" applyBorder="1" applyAlignment="1" applyProtection="1">
      <alignment horizontal="left" vertical="top" wrapText="1"/>
    </xf>
    <xf numFmtId="0" fontId="0" fillId="7" borderId="28" xfId="0" applyFill="1" applyBorder="1" applyAlignment="1" applyProtection="1">
      <alignment horizontal="left" vertical="top" wrapText="1"/>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50" fillId="5" borderId="2" xfId="0" applyFont="1" applyFill="1" applyBorder="1" applyAlignment="1" applyProtection="1">
      <alignment horizontal="right" vertical="top" wrapText="1"/>
    </xf>
    <xf numFmtId="0" fontId="0" fillId="2" borderId="13" xfId="0" applyFill="1" applyBorder="1" applyAlignment="1" applyProtection="1">
      <alignment horizontal="left" wrapText="1"/>
    </xf>
    <xf numFmtId="0" fontId="0" fillId="2" borderId="14" xfId="0" applyFill="1" applyBorder="1" applyAlignment="1" applyProtection="1">
      <alignment horizontal="left" wrapText="1"/>
    </xf>
    <xf numFmtId="0" fontId="0" fillId="2" borderId="28" xfId="0" applyFill="1" applyBorder="1" applyAlignment="1" applyProtection="1">
      <alignment horizontal="left" wrapText="1"/>
    </xf>
    <xf numFmtId="168" fontId="5" fillId="5" borderId="0" xfId="2" applyNumberFormat="1" applyFont="1" applyFill="1" applyBorder="1" applyAlignment="1" applyProtection="1">
      <alignment horizontal="center"/>
    </xf>
    <xf numFmtId="167" fontId="5" fillId="7" borderId="2" xfId="2" applyNumberFormat="1" applyFont="1" applyFill="1" applyBorder="1" applyAlignment="1" applyProtection="1">
      <alignment horizontal="center"/>
      <protection locked="0"/>
    </xf>
    <xf numFmtId="0" fontId="49" fillId="2" borderId="2" xfId="0" applyFont="1" applyFill="1" applyBorder="1" applyAlignment="1" applyProtection="1">
      <alignment horizontal="center" wrapText="1"/>
    </xf>
    <xf numFmtId="0" fontId="49" fillId="2" borderId="2"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right"/>
      <protection locked="0"/>
    </xf>
    <xf numFmtId="0" fontId="5" fillId="7" borderId="2" xfId="0" applyFont="1" applyFill="1" applyBorder="1" applyAlignment="1" applyProtection="1">
      <alignment horizontal="center"/>
      <protection locked="0"/>
    </xf>
    <xf numFmtId="0" fontId="19" fillId="2" borderId="2" xfId="0" applyFont="1" applyFill="1" applyBorder="1" applyAlignment="1" applyProtection="1">
      <alignment horizontal="right" wrapText="1"/>
    </xf>
    <xf numFmtId="0" fontId="0" fillId="5" borderId="27" xfId="0" applyFill="1" applyBorder="1" applyAlignment="1" applyProtection="1">
      <alignment horizontal="left" vertical="top" wrapText="1"/>
    </xf>
    <xf numFmtId="0" fontId="19" fillId="2" borderId="2" xfId="0" applyFont="1" applyFill="1" applyBorder="1" applyAlignment="1" applyProtection="1">
      <alignment horizontal="right"/>
    </xf>
    <xf numFmtId="0" fontId="19" fillId="2" borderId="13" xfId="0" applyFont="1" applyFill="1" applyBorder="1" applyAlignment="1" applyProtection="1">
      <alignment horizontal="right" wrapText="1"/>
    </xf>
    <xf numFmtId="0" fontId="19" fillId="2" borderId="14" xfId="0" applyFont="1" applyFill="1" applyBorder="1" applyAlignment="1" applyProtection="1">
      <alignment horizontal="right" wrapText="1"/>
    </xf>
    <xf numFmtId="0" fontId="19" fillId="2" borderId="28" xfId="0" applyFont="1" applyFill="1" applyBorder="1" applyAlignment="1" applyProtection="1">
      <alignment horizontal="right" wrapText="1"/>
    </xf>
    <xf numFmtId="164" fontId="0" fillId="2" borderId="2" xfId="0" applyNumberFormat="1" applyFill="1" applyBorder="1" applyAlignment="1" applyProtection="1">
      <alignment horizontal="left" vertical="top" wrapText="1"/>
      <protection locked="0"/>
    </xf>
    <xf numFmtId="0" fontId="5" fillId="2" borderId="13" xfId="0" applyFont="1" applyFill="1" applyBorder="1" applyAlignment="1" applyProtection="1">
      <alignment horizontal="center" wrapText="1"/>
    </xf>
    <xf numFmtId="0" fontId="5" fillId="2" borderId="14" xfId="0" applyFont="1" applyFill="1" applyBorder="1" applyAlignment="1" applyProtection="1">
      <alignment horizontal="center" wrapText="1"/>
    </xf>
    <xf numFmtId="0" fontId="5" fillId="2" borderId="28" xfId="0" applyFont="1" applyFill="1" applyBorder="1" applyAlignment="1" applyProtection="1">
      <alignment horizontal="center" wrapText="1"/>
    </xf>
    <xf numFmtId="0" fontId="0" fillId="2" borderId="2" xfId="0" applyFill="1" applyBorder="1" applyAlignment="1" applyProtection="1">
      <alignment horizontal="right"/>
    </xf>
    <xf numFmtId="0" fontId="5" fillId="2" borderId="2" xfId="0" applyFont="1" applyFill="1" applyBorder="1" applyAlignment="1" applyProtection="1">
      <alignment horizontal="right"/>
    </xf>
    <xf numFmtId="0" fontId="46" fillId="2" borderId="2" xfId="0" applyFont="1" applyFill="1" applyBorder="1" applyAlignment="1" applyProtection="1">
      <alignment horizontal="right"/>
    </xf>
    <xf numFmtId="0" fontId="19" fillId="2" borderId="4"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0" fontId="19" fillId="2" borderId="6" xfId="0" applyFont="1" applyFill="1" applyBorder="1" applyAlignment="1" applyProtection="1">
      <alignment horizontal="left" vertical="center" wrapText="1"/>
      <protection locked="0"/>
    </xf>
    <xf numFmtId="0" fontId="19" fillId="2" borderId="7"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left" vertical="center" wrapText="1"/>
      <protection locked="0"/>
    </xf>
    <xf numFmtId="49" fontId="19" fillId="2" borderId="13" xfId="0" applyNumberFormat="1" applyFont="1" applyFill="1" applyBorder="1" applyAlignment="1" applyProtection="1">
      <alignment horizontal="center"/>
      <protection locked="0"/>
    </xf>
    <xf numFmtId="49" fontId="19" fillId="2" borderId="14" xfId="0" applyNumberFormat="1" applyFont="1" applyFill="1" applyBorder="1" applyAlignment="1" applyProtection="1">
      <alignment horizontal="center"/>
      <protection locked="0"/>
    </xf>
    <xf numFmtId="49" fontId="19" fillId="2" borderId="28" xfId="0" applyNumberFormat="1" applyFont="1" applyFill="1" applyBorder="1" applyAlignment="1" applyProtection="1">
      <alignment horizontal="center"/>
      <protection locked="0"/>
    </xf>
    <xf numFmtId="0" fontId="5" fillId="2" borderId="13" xfId="0" applyFont="1" applyFill="1" applyBorder="1" applyAlignment="1" applyProtection="1">
      <alignment horizontal="right" wrapText="1"/>
    </xf>
    <xf numFmtId="0" fontId="5" fillId="2" borderId="14" xfId="0" applyFont="1" applyFill="1" applyBorder="1" applyAlignment="1" applyProtection="1">
      <alignment horizontal="right" wrapText="1"/>
    </xf>
    <xf numFmtId="0" fontId="5" fillId="2" borderId="28" xfId="0" applyFont="1" applyFill="1" applyBorder="1" applyAlignment="1" applyProtection="1">
      <alignment horizontal="right" wrapText="1"/>
    </xf>
    <xf numFmtId="164" fontId="4" fillId="7" borderId="13" xfId="0" applyNumberFormat="1" applyFont="1" applyFill="1" applyBorder="1" applyAlignment="1" applyProtection="1">
      <alignment horizontal="center"/>
      <protection locked="0"/>
    </xf>
    <xf numFmtId="164" fontId="4" fillId="7" borderId="28" xfId="0" applyNumberFormat="1" applyFont="1" applyFill="1" applyBorder="1" applyAlignment="1" applyProtection="1">
      <alignment horizontal="center"/>
      <protection locked="0"/>
    </xf>
    <xf numFmtId="0" fontId="35" fillId="7" borderId="13" xfId="0" applyFont="1" applyFill="1" applyBorder="1" applyAlignment="1" applyProtection="1">
      <alignment horizontal="center"/>
      <protection locked="0"/>
    </xf>
    <xf numFmtId="0" fontId="35" fillId="7" borderId="14" xfId="0" applyFont="1" applyFill="1" applyBorder="1" applyAlignment="1" applyProtection="1">
      <alignment horizontal="center"/>
      <protection locked="0"/>
    </xf>
    <xf numFmtId="0" fontId="35" fillId="7" borderId="28" xfId="0" applyFont="1" applyFill="1" applyBorder="1" applyAlignment="1" applyProtection="1">
      <alignment horizontal="center"/>
      <protection locked="0"/>
    </xf>
    <xf numFmtId="0" fontId="21" fillId="5" borderId="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164" fontId="6" fillId="7" borderId="1" xfId="0" applyNumberFormat="1" applyFont="1" applyFill="1" applyBorder="1" applyAlignment="1" applyProtection="1">
      <alignment horizontal="center" vertical="center" wrapText="1"/>
      <protection locked="0"/>
    </xf>
    <xf numFmtId="164" fontId="7" fillId="7" borderId="29" xfId="0" applyNumberFormat="1" applyFont="1" applyFill="1" applyBorder="1" applyAlignment="1" applyProtection="1">
      <alignment horizontal="center" vertical="center" wrapText="1"/>
      <protection locked="0"/>
    </xf>
    <xf numFmtId="164" fontId="7" fillId="7" borderId="25"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14" fillId="6" borderId="2" xfId="0" applyFont="1" applyFill="1" applyBorder="1" applyAlignment="1" applyProtection="1">
      <alignment horizontal="center"/>
    </xf>
    <xf numFmtId="0" fontId="14" fillId="6" borderId="13" xfId="0" applyFont="1" applyFill="1" applyBorder="1" applyAlignment="1" applyProtection="1">
      <alignment horizontal="center"/>
    </xf>
    <xf numFmtId="0" fontId="19" fillId="5" borderId="1" xfId="0" applyFont="1" applyFill="1" applyBorder="1" applyAlignment="1" applyProtection="1">
      <alignment horizontal="center"/>
    </xf>
    <xf numFmtId="0" fontId="19" fillId="5" borderId="29" xfId="0" applyFont="1" applyFill="1" applyBorder="1" applyAlignment="1" applyProtection="1">
      <alignment horizontal="center"/>
    </xf>
    <xf numFmtId="0" fontId="19" fillId="5" borderId="25" xfId="0" applyFont="1" applyFill="1" applyBorder="1" applyAlignment="1" applyProtection="1">
      <alignment horizontal="center"/>
    </xf>
    <xf numFmtId="166" fontId="19" fillId="5" borderId="0" xfId="0" applyNumberFormat="1" applyFont="1" applyFill="1" applyBorder="1" applyAlignment="1" applyProtection="1">
      <alignment horizontal="center"/>
    </xf>
    <xf numFmtId="0" fontId="43" fillId="5" borderId="0" xfId="0" applyFont="1" applyFill="1" applyBorder="1" applyAlignment="1" applyProtection="1">
      <alignment horizontal="right"/>
    </xf>
    <xf numFmtId="0" fontId="43" fillId="5" borderId="0" xfId="0" applyFont="1" applyFill="1" applyAlignment="1" applyProtection="1">
      <alignment horizontal="right"/>
    </xf>
    <xf numFmtId="0" fontId="75" fillId="5" borderId="0" xfId="0" applyFont="1" applyFill="1" applyAlignment="1" applyProtection="1"/>
    <xf numFmtId="0" fontId="0" fillId="5" borderId="0" xfId="0" applyFill="1" applyAlignment="1"/>
    <xf numFmtId="165" fontId="22" fillId="3" borderId="0" xfId="0" applyNumberFormat="1" applyFont="1" applyFill="1" applyBorder="1" applyAlignment="1" applyProtection="1">
      <alignment horizontal="center"/>
    </xf>
    <xf numFmtId="165" fontId="42" fillId="3" borderId="0" xfId="0" applyNumberFormat="1" applyFont="1" applyFill="1" applyBorder="1" applyAlignment="1" applyProtection="1">
      <alignment horizontal="center"/>
    </xf>
    <xf numFmtId="0" fontId="121" fillId="8" borderId="0" xfId="0" applyFont="1" applyFill="1" applyBorder="1" applyAlignment="1" applyProtection="1">
      <alignment horizontal="center" wrapText="1"/>
    </xf>
    <xf numFmtId="164" fontId="124" fillId="3" borderId="2" xfId="0" applyNumberFormat="1" applyFont="1" applyFill="1" applyBorder="1" applyAlignment="1" applyProtection="1">
      <alignment horizontal="center" vertical="justify" wrapText="1"/>
      <protection locked="0"/>
    </xf>
    <xf numFmtId="49" fontId="124" fillId="3" borderId="2" xfId="0" applyNumberFormat="1" applyFont="1" applyFill="1" applyBorder="1" applyAlignment="1" applyProtection="1">
      <alignment horizontal="center" vertical="justify" wrapText="1"/>
      <protection locked="0"/>
    </xf>
    <xf numFmtId="0" fontId="124" fillId="3" borderId="2" xfId="0" applyNumberFormat="1" applyFont="1" applyFill="1" applyBorder="1" applyAlignment="1" applyProtection="1">
      <alignment horizontal="center" vertical="justify" wrapText="1"/>
      <protection locked="0"/>
    </xf>
    <xf numFmtId="164" fontId="21" fillId="3" borderId="0" xfId="0" applyNumberFormat="1" applyFont="1" applyFill="1" applyBorder="1" applyAlignment="1" applyProtection="1">
      <alignment horizontal="center"/>
    </xf>
    <xf numFmtId="0" fontId="23" fillId="3" borderId="0" xfId="0" applyFont="1" applyFill="1" applyAlignment="1" applyProtection="1">
      <alignment horizontal="center"/>
    </xf>
    <xf numFmtId="0" fontId="23" fillId="3" borderId="8" xfId="0" applyFont="1" applyFill="1" applyBorder="1" applyAlignment="1" applyProtection="1">
      <alignment horizontal="center"/>
    </xf>
    <xf numFmtId="164" fontId="31" fillId="2" borderId="1" xfId="0" applyNumberFormat="1" applyFont="1" applyFill="1" applyBorder="1" applyAlignment="1" applyProtection="1">
      <alignment horizontal="center"/>
    </xf>
    <xf numFmtId="164" fontId="31" fillId="2" borderId="29" xfId="0" applyNumberFormat="1" applyFont="1" applyFill="1" applyBorder="1" applyAlignment="1" applyProtection="1">
      <alignment horizontal="center"/>
    </xf>
    <xf numFmtId="164" fontId="31" fillId="2" borderId="25" xfId="0" applyNumberFormat="1" applyFont="1" applyFill="1" applyBorder="1" applyAlignment="1" applyProtection="1">
      <alignment horizontal="center"/>
    </xf>
    <xf numFmtId="164" fontId="31" fillId="2" borderId="1" xfId="0" applyNumberFormat="1" applyFont="1" applyFill="1" applyBorder="1" applyAlignment="1" applyProtection="1">
      <alignment horizontal="center" wrapText="1"/>
    </xf>
    <xf numFmtId="164" fontId="31" fillId="2" borderId="29" xfId="0" applyNumberFormat="1" applyFont="1" applyFill="1" applyBorder="1" applyAlignment="1" applyProtection="1">
      <alignment horizontal="center" wrapText="1"/>
    </xf>
    <xf numFmtId="164" fontId="31" fillId="2" borderId="25" xfId="0" applyNumberFormat="1" applyFont="1" applyFill="1" applyBorder="1" applyAlignment="1" applyProtection="1">
      <alignment horizontal="center" wrapText="1"/>
    </xf>
    <xf numFmtId="165" fontId="41" fillId="3" borderId="0" xfId="0" applyNumberFormat="1" applyFont="1" applyFill="1" applyBorder="1" applyAlignment="1" applyProtection="1">
      <alignment horizontal="center"/>
    </xf>
    <xf numFmtId="164" fontId="111" fillId="2" borderId="1" xfId="0" applyNumberFormat="1" applyFont="1" applyFill="1" applyBorder="1" applyAlignment="1" applyProtection="1">
      <alignment horizontal="center"/>
    </xf>
    <xf numFmtId="164" fontId="111" fillId="2" borderId="25" xfId="0" applyNumberFormat="1" applyFont="1" applyFill="1" applyBorder="1" applyAlignment="1" applyProtection="1">
      <alignment horizontal="center"/>
    </xf>
    <xf numFmtId="164" fontId="77" fillId="2" borderId="4" xfId="0" applyNumberFormat="1" applyFont="1" applyFill="1" applyBorder="1" applyAlignment="1" applyProtection="1">
      <alignment horizontal="center" vertical="center" wrapText="1"/>
    </xf>
    <xf numFmtId="0" fontId="77" fillId="2" borderId="6" xfId="0" applyFont="1" applyFill="1" applyBorder="1" applyAlignment="1" applyProtection="1">
      <alignment horizontal="center" vertical="center" wrapText="1"/>
    </xf>
    <xf numFmtId="0" fontId="77" fillId="2" borderId="9" xfId="0" applyFont="1" applyFill="1" applyBorder="1" applyAlignment="1" applyProtection="1">
      <alignment horizontal="center" vertical="center" wrapText="1"/>
    </xf>
    <xf numFmtId="0" fontId="77" fillId="2" borderId="10" xfId="0" applyFont="1" applyFill="1" applyBorder="1" applyAlignment="1" applyProtection="1">
      <alignment horizontal="center" vertical="center" wrapText="1"/>
    </xf>
    <xf numFmtId="164" fontId="13" fillId="7" borderId="1" xfId="0" applyNumberFormat="1" applyFont="1" applyFill="1" applyBorder="1" applyAlignment="1" applyProtection="1">
      <alignment horizontal="center"/>
    </xf>
    <xf numFmtId="0" fontId="13" fillId="7" borderId="29" xfId="0" applyFont="1" applyFill="1" applyBorder="1" applyAlignment="1" applyProtection="1">
      <alignment horizontal="center"/>
    </xf>
    <xf numFmtId="0" fontId="13" fillId="7" borderId="25" xfId="0" applyFont="1" applyFill="1" applyBorder="1" applyAlignment="1" applyProtection="1">
      <alignment horizontal="center"/>
    </xf>
    <xf numFmtId="165" fontId="32" fillId="3" borderId="0" xfId="0" applyNumberFormat="1" applyFont="1" applyFill="1" applyBorder="1" applyAlignment="1" applyProtection="1">
      <alignment horizontal="center"/>
    </xf>
    <xf numFmtId="164" fontId="96" fillId="2" borderId="19" xfId="0" applyNumberFormat="1" applyFont="1" applyFill="1" applyBorder="1" applyAlignment="1" applyProtection="1">
      <alignment horizontal="center" vertical="center"/>
    </xf>
    <xf numFmtId="164" fontId="96" fillId="2" borderId="40" xfId="0" applyNumberFormat="1" applyFont="1" applyFill="1" applyBorder="1" applyAlignment="1" applyProtection="1">
      <alignment horizontal="center" vertical="center"/>
    </xf>
    <xf numFmtId="49" fontId="16" fillId="3" borderId="0" xfId="0" applyNumberFormat="1" applyFont="1" applyFill="1" applyAlignment="1" applyProtection="1">
      <alignment horizontal="right"/>
    </xf>
    <xf numFmtId="164" fontId="124" fillId="2" borderId="13" xfId="0" applyNumberFormat="1" applyFont="1" applyFill="1" applyBorder="1" applyAlignment="1" applyProtection="1">
      <alignment horizontal="center"/>
      <protection locked="0"/>
    </xf>
    <xf numFmtId="164" fontId="124" fillId="2" borderId="28" xfId="0" applyNumberFormat="1" applyFont="1" applyFill="1" applyBorder="1" applyAlignment="1" applyProtection="1">
      <alignment horizontal="center"/>
      <protection locked="0"/>
    </xf>
    <xf numFmtId="164" fontId="111" fillId="2" borderId="2" xfId="0" quotePrefix="1" applyNumberFormat="1" applyFont="1" applyFill="1" applyBorder="1" applyAlignment="1" applyProtection="1">
      <alignment horizontal="center"/>
    </xf>
    <xf numFmtId="164" fontId="111" fillId="2" borderId="2" xfId="0" applyNumberFormat="1" applyFont="1" applyFill="1" applyBorder="1" applyAlignment="1" applyProtection="1">
      <alignment horizontal="center"/>
    </xf>
    <xf numFmtId="0" fontId="0" fillId="3" borderId="0" xfId="0" applyFill="1" applyBorder="1" applyAlignment="1" applyProtection="1">
      <alignment horizontal="right"/>
    </xf>
    <xf numFmtId="2" fontId="4" fillId="2" borderId="1" xfId="0" applyNumberFormat="1" applyFont="1" applyFill="1" applyBorder="1" applyAlignment="1" applyProtection="1">
      <alignment horizontal="center"/>
    </xf>
    <xf numFmtId="2" fontId="4" fillId="2" borderId="29" xfId="0" applyNumberFormat="1" applyFont="1" applyFill="1" applyBorder="1" applyAlignment="1" applyProtection="1">
      <alignment horizontal="center"/>
    </xf>
    <xf numFmtId="2" fontId="4" fillId="2" borderId="25" xfId="0" applyNumberFormat="1" applyFont="1" applyFill="1" applyBorder="1" applyAlignment="1" applyProtection="1">
      <alignment horizontal="center"/>
    </xf>
    <xf numFmtId="0" fontId="0" fillId="3" borderId="8" xfId="0" applyFill="1" applyBorder="1" applyAlignment="1" applyProtection="1">
      <alignment horizontal="right"/>
    </xf>
    <xf numFmtId="164" fontId="4" fillId="2" borderId="1" xfId="0" applyNumberFormat="1" applyFont="1" applyFill="1" applyBorder="1" applyAlignment="1" applyProtection="1">
      <alignment horizontal="center"/>
    </xf>
    <xf numFmtId="164" fontId="4" fillId="2" borderId="25" xfId="0" applyNumberFormat="1" applyFont="1" applyFill="1" applyBorder="1" applyAlignment="1" applyProtection="1">
      <alignment horizontal="center"/>
    </xf>
    <xf numFmtId="0" fontId="0" fillId="3" borderId="7" xfId="0" applyFill="1" applyBorder="1" applyAlignment="1" applyProtection="1">
      <alignment horizontal="right"/>
    </xf>
    <xf numFmtId="0" fontId="165" fillId="2" borderId="13" xfId="0" applyFont="1" applyFill="1" applyBorder="1" applyAlignment="1" applyProtection="1">
      <alignment horizontal="center"/>
      <protection locked="0"/>
    </xf>
    <xf numFmtId="0" fontId="165" fillId="2" borderId="14" xfId="0" applyFont="1" applyFill="1" applyBorder="1" applyAlignment="1" applyProtection="1">
      <alignment horizontal="center"/>
      <protection locked="0"/>
    </xf>
    <xf numFmtId="0" fontId="165" fillId="2" borderId="28" xfId="0" applyFont="1" applyFill="1" applyBorder="1" applyAlignment="1" applyProtection="1">
      <alignment horizontal="center"/>
      <protection locked="0"/>
    </xf>
    <xf numFmtId="49" fontId="165" fillId="2" borderId="13" xfId="0" applyNumberFormat="1" applyFont="1" applyFill="1" applyBorder="1" applyAlignment="1" applyProtection="1">
      <alignment horizontal="center"/>
      <protection locked="0"/>
    </xf>
    <xf numFmtId="49" fontId="165" fillId="2" borderId="14" xfId="0" applyNumberFormat="1" applyFont="1" applyFill="1" applyBorder="1" applyAlignment="1" applyProtection="1">
      <alignment horizontal="center"/>
      <protection locked="0"/>
    </xf>
    <xf numFmtId="49" fontId="165" fillId="2" borderId="28" xfId="0" applyNumberFormat="1" applyFont="1" applyFill="1" applyBorder="1" applyAlignment="1" applyProtection="1">
      <alignment horizontal="center"/>
      <protection locked="0"/>
    </xf>
    <xf numFmtId="0" fontId="165" fillId="2" borderId="13" xfId="0" applyNumberFormat="1" applyFont="1" applyFill="1" applyBorder="1" applyAlignment="1" applyProtection="1">
      <alignment horizontal="center"/>
      <protection locked="0"/>
    </xf>
    <xf numFmtId="0" fontId="165" fillId="2" borderId="14" xfId="0" applyNumberFormat="1" applyFont="1" applyFill="1" applyBorder="1" applyAlignment="1" applyProtection="1">
      <alignment horizontal="center"/>
      <protection locked="0"/>
    </xf>
    <xf numFmtId="0" fontId="165" fillId="2" borderId="28" xfId="0" applyNumberFormat="1" applyFont="1" applyFill="1" applyBorder="1" applyAlignment="1" applyProtection="1">
      <alignment horizontal="center"/>
      <protection locked="0"/>
    </xf>
    <xf numFmtId="0" fontId="166" fillId="2" borderId="13" xfId="0" applyNumberFormat="1" applyFont="1" applyFill="1" applyBorder="1" applyAlignment="1" applyProtection="1">
      <alignment horizontal="center"/>
      <protection locked="0"/>
    </xf>
    <xf numFmtId="0" fontId="166" fillId="2" borderId="14" xfId="0" applyNumberFormat="1" applyFont="1" applyFill="1" applyBorder="1" applyAlignment="1" applyProtection="1">
      <alignment horizontal="center"/>
      <protection locked="0"/>
    </xf>
    <xf numFmtId="0" fontId="166" fillId="2" borderId="28" xfId="0" applyNumberFormat="1" applyFont="1" applyFill="1" applyBorder="1" applyAlignment="1" applyProtection="1">
      <alignment horizontal="center"/>
      <protection locked="0"/>
    </xf>
    <xf numFmtId="0" fontId="0" fillId="3" borderId="0" xfId="0" applyFill="1" applyAlignment="1" applyProtection="1">
      <alignment horizontal="center"/>
    </xf>
    <xf numFmtId="0" fontId="0" fillId="3" borderId="0" xfId="0" applyFill="1" applyBorder="1" applyAlignment="1" applyProtection="1">
      <alignment horizontal="center"/>
    </xf>
    <xf numFmtId="0" fontId="14" fillId="4" borderId="2" xfId="0" applyFont="1" applyFill="1" applyBorder="1" applyAlignment="1" applyProtection="1">
      <alignment horizontal="center"/>
    </xf>
    <xf numFmtId="0" fontId="14" fillId="4" borderId="13" xfId="0" applyFont="1" applyFill="1" applyBorder="1" applyAlignment="1" applyProtection="1">
      <alignment wrapText="1"/>
    </xf>
    <xf numFmtId="0" fontId="14" fillId="4" borderId="28" xfId="0" applyFont="1" applyFill="1" applyBorder="1" applyAlignment="1" applyProtection="1">
      <alignment wrapText="1"/>
    </xf>
    <xf numFmtId="0" fontId="5" fillId="7" borderId="1" xfId="0" applyFont="1" applyFill="1" applyBorder="1" applyAlignment="1" applyProtection="1">
      <alignment horizontal="center" vertical="center"/>
    </xf>
    <xf numFmtId="0" fontId="0" fillId="7" borderId="29" xfId="0" applyFill="1" applyBorder="1" applyAlignment="1" applyProtection="1">
      <alignment horizontal="center" vertical="center"/>
    </xf>
    <xf numFmtId="0" fontId="0" fillId="7" borderId="25" xfId="0" applyFill="1" applyBorder="1" applyAlignment="1" applyProtection="1">
      <alignment horizontal="center" vertical="center"/>
    </xf>
    <xf numFmtId="0" fontId="114" fillId="3" borderId="0" xfId="0" applyFont="1" applyFill="1" applyBorder="1" applyAlignment="1" applyProtection="1">
      <alignment horizontal="center"/>
      <protection locked="0"/>
    </xf>
    <xf numFmtId="164" fontId="0" fillId="3" borderId="0" xfId="0" applyNumberFormat="1" applyFill="1" applyBorder="1" applyAlignment="1" applyProtection="1"/>
    <xf numFmtId="166" fontId="19" fillId="3" borderId="0" xfId="0" applyNumberFormat="1" applyFont="1" applyFill="1" applyBorder="1" applyAlignment="1" applyProtection="1">
      <alignment horizontal="center"/>
      <protection locked="0"/>
    </xf>
    <xf numFmtId="0" fontId="56" fillId="3" borderId="0" xfId="0" applyFont="1" applyFill="1" applyBorder="1" applyAlignment="1" applyProtection="1">
      <alignment horizontal="right"/>
    </xf>
    <xf numFmtId="0" fontId="56" fillId="3" borderId="0" xfId="0" applyFont="1" applyFill="1" applyAlignment="1" applyProtection="1">
      <alignment horizontal="right"/>
    </xf>
    <xf numFmtId="0" fontId="56" fillId="3" borderId="20" xfId="0" applyFont="1" applyFill="1" applyBorder="1" applyAlignment="1" applyProtection="1">
      <alignment horizontal="right"/>
    </xf>
    <xf numFmtId="15" fontId="3" fillId="2" borderId="29" xfId="0" applyNumberFormat="1" applyFont="1" applyFill="1" applyBorder="1" applyAlignment="1" applyProtection="1">
      <alignment horizontal="center" vertical="center" wrapText="1"/>
      <protection locked="0"/>
    </xf>
    <xf numFmtId="15" fontId="3" fillId="2" borderId="25" xfId="0" applyNumberFormat="1" applyFont="1" applyFill="1" applyBorder="1" applyAlignment="1" applyProtection="1">
      <alignment horizontal="center" vertical="center" wrapText="1"/>
      <protection locked="0"/>
    </xf>
    <xf numFmtId="1" fontId="6" fillId="2" borderId="29" xfId="0" applyNumberFormat="1" applyFont="1" applyFill="1" applyBorder="1" applyAlignment="1" applyProtection="1">
      <alignment horizontal="center" vertical="center" wrapText="1"/>
      <protection locked="0"/>
    </xf>
    <xf numFmtId="1" fontId="6" fillId="2" borderId="25" xfId="0" applyNumberFormat="1" applyFont="1" applyFill="1" applyBorder="1" applyAlignment="1" applyProtection="1">
      <alignment horizontal="center" vertical="center" wrapText="1"/>
      <protection locked="0"/>
    </xf>
    <xf numFmtId="0" fontId="6" fillId="8" borderId="0" xfId="0" applyFont="1" applyFill="1" applyBorder="1" applyAlignment="1" applyProtection="1">
      <alignment horizontal="center" vertical="center" wrapText="1"/>
      <protection locked="0"/>
    </xf>
    <xf numFmtId="0" fontId="7" fillId="8" borderId="0" xfId="0" applyFont="1" applyFill="1" applyBorder="1" applyAlignment="1" applyProtection="1">
      <alignment horizontal="center" vertical="center" wrapText="1"/>
      <protection locked="0"/>
    </xf>
    <xf numFmtId="0" fontId="116" fillId="3" borderId="0" xfId="0" applyFont="1" applyFill="1" applyBorder="1" applyAlignment="1" applyProtection="1">
      <protection locked="0"/>
    </xf>
    <xf numFmtId="15" fontId="6" fillId="2" borderId="29" xfId="0" applyNumberFormat="1" applyFont="1" applyFill="1" applyBorder="1" applyAlignment="1" applyProtection="1">
      <alignment horizontal="center" vertical="center" wrapText="1"/>
      <protection locked="0"/>
    </xf>
    <xf numFmtId="15" fontId="6" fillId="2" borderId="25" xfId="0" applyNumberFormat="1" applyFont="1" applyFill="1" applyBorder="1" applyAlignment="1" applyProtection="1">
      <alignment horizontal="center" vertical="center" wrapText="1"/>
      <protection locked="0"/>
    </xf>
    <xf numFmtId="164" fontId="6" fillId="8" borderId="0" xfId="0" applyNumberFormat="1" applyFont="1" applyFill="1" applyBorder="1" applyAlignment="1" applyProtection="1">
      <alignment horizontal="center" vertical="center" wrapText="1"/>
      <protection locked="0"/>
    </xf>
    <xf numFmtId="164" fontId="7" fillId="8" borderId="0" xfId="0" applyNumberFormat="1" applyFont="1" applyFill="1" applyBorder="1" applyAlignment="1" applyProtection="1">
      <alignment horizontal="center" vertical="center" wrapText="1"/>
      <protection locked="0"/>
    </xf>
  </cellXfs>
  <cellStyles count="6">
    <cellStyle name="Comma 2" xfId="1"/>
    <cellStyle name="Currency" xfId="2" builtinId="4"/>
    <cellStyle name="Normal" xfId="0" builtinId="0"/>
    <cellStyle name="Normal 2" xfId="3"/>
    <cellStyle name="Normal 3" xfId="4"/>
    <cellStyle name="Style 1" xfId="5"/>
  </cellStyles>
  <dxfs count="89">
    <dxf>
      <font>
        <b/>
        <i val="0"/>
        <color rgb="FFFF0000"/>
      </font>
    </dxf>
    <dxf>
      <font>
        <b/>
        <i val="0"/>
        <color rgb="FFFF0000"/>
      </font>
    </dxf>
    <dxf>
      <font>
        <b/>
        <i val="0"/>
        <color rgb="FFFF0000"/>
      </font>
    </dxf>
    <dxf>
      <font>
        <b/>
        <i val="0"/>
        <color rgb="FFFF0000"/>
      </font>
    </dxf>
    <dxf>
      <font>
        <b/>
        <i/>
        <color rgb="FFFF0000"/>
      </font>
    </dxf>
    <dxf>
      <font>
        <color theme="0"/>
      </font>
    </dxf>
    <dxf>
      <font>
        <color theme="0"/>
      </font>
    </dxf>
    <dxf>
      <font>
        <b/>
        <i val="0"/>
        <color rgb="FFFF0000"/>
      </font>
    </dxf>
    <dxf>
      <font>
        <b/>
        <i val="0"/>
        <color rgb="FFFF0000"/>
      </font>
    </dxf>
    <dxf>
      <font>
        <b/>
        <i val="0"/>
        <color rgb="FFFF0000"/>
      </font>
    </dxf>
    <dxf>
      <font>
        <b/>
        <i val="0"/>
        <color rgb="FFFF0000"/>
      </font>
    </dxf>
    <dxf>
      <font>
        <b/>
        <i/>
        <color rgb="FFFF0000"/>
      </font>
    </dxf>
    <dxf>
      <font>
        <color theme="0"/>
      </font>
    </dxf>
    <dxf>
      <font>
        <color theme="0"/>
      </font>
    </dxf>
    <dxf>
      <font>
        <b/>
        <i val="0"/>
        <condense val="0"/>
        <extend val="0"/>
        <color indexed="10"/>
      </font>
    </dxf>
    <dxf>
      <font>
        <b val="0"/>
        <i/>
        <strike/>
        <color rgb="FFFF0000"/>
      </font>
    </dxf>
    <dxf>
      <font>
        <strike val="0"/>
        <color theme="0"/>
      </font>
    </dxf>
    <dxf>
      <font>
        <b/>
        <i val="0"/>
        <color rgb="FFFF0000"/>
      </font>
    </dxf>
    <dxf>
      <font>
        <strike val="0"/>
        <color theme="0"/>
      </font>
    </dxf>
    <dxf>
      <font>
        <b/>
        <i val="0"/>
        <color rgb="FFFF0000"/>
      </font>
    </dxf>
    <dxf>
      <font>
        <color theme="0"/>
      </font>
    </dxf>
    <dxf>
      <font>
        <b/>
        <i val="0"/>
        <strike val="0"/>
        <color rgb="FFC00000"/>
        <name val="Cambria"/>
        <scheme val="none"/>
      </font>
    </dxf>
    <dxf>
      <font>
        <b/>
        <i val="0"/>
        <color rgb="FFFF0000"/>
      </font>
    </dxf>
    <dxf>
      <font>
        <color theme="4" tint="0.59996337778862885"/>
      </font>
    </dxf>
    <dxf>
      <font>
        <color theme="3" tint="0.79998168889431442"/>
      </font>
    </dxf>
    <dxf>
      <font>
        <color theme="0"/>
      </font>
    </dxf>
    <dxf>
      <font>
        <b/>
        <i val="0"/>
        <strike val="0"/>
        <color rgb="FFC00000"/>
        <name val="Cambria"/>
        <scheme val="none"/>
      </font>
    </dxf>
    <dxf>
      <font>
        <b/>
        <i val="0"/>
        <color rgb="FFFF0000"/>
      </font>
    </dxf>
    <dxf>
      <font>
        <b/>
        <i val="0"/>
        <color rgb="FFFF0000"/>
      </font>
    </dxf>
    <dxf>
      <font>
        <color theme="0"/>
      </font>
    </dxf>
    <dxf>
      <font>
        <color theme="0" tint="-4.9989318521683403E-2"/>
      </font>
    </dxf>
    <dxf>
      <font>
        <color theme="0"/>
      </font>
    </dxf>
    <dxf>
      <font>
        <color theme="0"/>
      </font>
    </dxf>
    <dxf>
      <font>
        <color theme="0"/>
      </font>
    </dxf>
    <dxf>
      <font>
        <color theme="0"/>
      </font>
    </dxf>
    <dxf>
      <font>
        <b/>
        <i val="0"/>
        <color rgb="FFFF0000"/>
      </font>
    </dxf>
    <dxf>
      <font>
        <b/>
        <i val="0"/>
        <color rgb="FFFF0000"/>
      </font>
    </dxf>
    <dxf>
      <font>
        <color theme="0"/>
      </font>
    </dxf>
    <dxf>
      <font>
        <color theme="0" tint="-4.9989318521683403E-2"/>
      </font>
    </dxf>
    <dxf>
      <font>
        <color theme="0"/>
      </font>
    </dxf>
    <dxf>
      <font>
        <b/>
        <i val="0"/>
        <color rgb="FFFF0000"/>
      </font>
    </dxf>
    <dxf>
      <font>
        <color theme="0"/>
      </font>
    </dxf>
    <dxf>
      <font>
        <b/>
        <i val="0"/>
        <strike val="0"/>
        <color rgb="FFC00000"/>
        <name val="Cambria"/>
        <scheme val="none"/>
      </font>
    </dxf>
    <dxf>
      <font>
        <b/>
        <i val="0"/>
        <color rgb="FFFF0000"/>
      </font>
    </dxf>
    <dxf>
      <font>
        <b/>
        <i val="0"/>
        <condense val="0"/>
        <extend val="0"/>
        <color indexed="10"/>
      </font>
    </dxf>
    <dxf>
      <font>
        <strike val="0"/>
        <color theme="0"/>
      </font>
    </dxf>
    <dxf>
      <font>
        <b/>
        <i val="0"/>
        <color rgb="FFFF0000"/>
      </font>
    </dxf>
    <dxf>
      <font>
        <b/>
        <i val="0"/>
        <color rgb="FFFF0000"/>
      </font>
    </dxf>
    <dxf>
      <font>
        <color theme="0"/>
      </font>
    </dxf>
    <dxf>
      <font>
        <b/>
        <i val="0"/>
        <strike val="0"/>
        <color rgb="FFC00000"/>
        <name val="Cambria"/>
        <scheme val="none"/>
      </font>
    </dxf>
    <dxf>
      <font>
        <strike val="0"/>
        <color theme="0"/>
      </font>
    </dxf>
    <dxf>
      <font>
        <b/>
        <i val="0"/>
        <color rgb="FFFF0000"/>
      </font>
    </dxf>
    <dxf>
      <font>
        <b/>
        <i val="0"/>
        <color rgb="FFFF0000"/>
      </font>
    </dxf>
    <dxf>
      <font>
        <color theme="0"/>
      </font>
    </dxf>
    <dxf>
      <font>
        <b/>
        <i val="0"/>
        <strike val="0"/>
        <color rgb="FFC00000"/>
        <name val="Cambria"/>
        <scheme val="none"/>
      </font>
    </dxf>
    <dxf>
      <font>
        <color theme="0"/>
      </font>
    </dxf>
    <dxf>
      <font>
        <b/>
        <i val="0"/>
        <color rgb="FFFF0000"/>
      </font>
    </dxf>
    <dxf>
      <font>
        <b/>
        <i val="0"/>
        <color rgb="FFFF0000"/>
      </font>
    </dxf>
    <dxf>
      <font>
        <b/>
        <i val="0"/>
        <color rgb="FFFF0000"/>
      </font>
    </dxf>
    <dxf>
      <font>
        <color theme="0"/>
      </font>
    </dxf>
    <dxf>
      <font>
        <b/>
        <i val="0"/>
        <color rgb="FFFF0000"/>
      </font>
    </dxf>
    <dxf>
      <font>
        <b/>
        <i val="0"/>
        <condense val="0"/>
        <extend val="0"/>
        <color indexed="10"/>
      </font>
    </dxf>
    <dxf>
      <font>
        <color theme="4" tint="0.59996337778862885"/>
      </font>
    </dxf>
    <dxf>
      <font>
        <strike val="0"/>
        <color theme="0"/>
      </font>
    </dxf>
    <dxf>
      <font>
        <color theme="0"/>
      </font>
    </dxf>
    <dxf>
      <font>
        <color theme="0"/>
      </font>
    </dxf>
    <dxf>
      <font>
        <color theme="0" tint="-4.9989318521683403E-2"/>
      </font>
    </dxf>
    <dxf>
      <font>
        <color theme="0"/>
      </font>
    </dxf>
    <dxf>
      <font>
        <color theme="0" tint="-4.9989318521683403E-2"/>
      </font>
    </dxf>
    <dxf>
      <font>
        <color theme="0"/>
      </font>
    </dxf>
    <dxf>
      <font>
        <b/>
        <i val="0"/>
        <color rgb="FFFF0000"/>
      </font>
    </dxf>
    <dxf>
      <font>
        <b/>
        <i val="0"/>
        <color rgb="FFFF0000"/>
      </font>
    </dxf>
    <dxf>
      <font>
        <color theme="0"/>
      </font>
    </dxf>
    <dxf>
      <font>
        <color theme="0" tint="-4.9989318521683403E-2"/>
      </font>
    </dxf>
    <dxf>
      <font>
        <b/>
        <i val="0"/>
        <color rgb="FFFF0000"/>
      </font>
    </dxf>
    <dxf>
      <font>
        <color theme="0"/>
      </font>
    </dxf>
    <dxf>
      <font>
        <b/>
        <i val="0"/>
        <color rgb="FFFF0000"/>
      </font>
    </dxf>
    <dxf>
      <font>
        <b/>
        <i val="0"/>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88900</xdr:colOff>
      <xdr:row>0</xdr:row>
      <xdr:rowOff>412750</xdr:rowOff>
    </xdr:from>
    <xdr:to>
      <xdr:col>16</xdr:col>
      <xdr:colOff>19050</xdr:colOff>
      <xdr:row>1</xdr:row>
      <xdr:rowOff>101600</xdr:rowOff>
    </xdr:to>
    <xdr:grpSp>
      <xdr:nvGrpSpPr>
        <xdr:cNvPr id="8" name="Group 1055"/>
        <xdr:cNvGrpSpPr>
          <a:grpSpLocks/>
        </xdr:cNvGrpSpPr>
      </xdr:nvGrpSpPr>
      <xdr:grpSpPr bwMode="auto">
        <a:xfrm>
          <a:off x="193675" y="412750"/>
          <a:ext cx="4864100" cy="1155700"/>
          <a:chOff x="108813600" y="108813600"/>
          <a:chExt cx="2743200" cy="2743200"/>
        </a:xfrm>
        <a:solidFill>
          <a:schemeClr val="bg1"/>
        </a:solidFill>
      </xdr:grpSpPr>
      <xdr:sp macro="" textlink="">
        <xdr:nvSpPr>
          <xdr:cNvPr id="9" name="Rectangle 1056" hidden="1"/>
          <xdr:cNvSpPr>
            <a:spLocks noChangeArrowheads="1"/>
          </xdr:cNvSpPr>
        </xdr:nvSpPr>
        <xdr:spPr bwMode="auto">
          <a:xfrm>
            <a:off x="108813600" y="108813600"/>
            <a:ext cx="2743200" cy="2743200"/>
          </a:xfrm>
          <a:prstGeom prst="rect">
            <a:avLst/>
          </a:prstGeom>
          <a:grpFill/>
          <a:ln w="0" algn="ctr">
            <a:solidFill>
              <a:srgbClr val="08529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1057"/>
          <xdr:cNvSpPr>
            <a:spLocks noChangeArrowheads="1"/>
          </xdr:cNvSpPr>
        </xdr:nvSpPr>
        <xdr:spPr bwMode="auto">
          <a:xfrm>
            <a:off x="108813600" y="108813600"/>
            <a:ext cx="2743200" cy="2743200"/>
          </a:xfrm>
          <a:prstGeom prst="rect">
            <a:avLst/>
          </a:prstGeom>
          <a:grpFill/>
          <a:ln w="3175" algn="ctr">
            <a:solidFill>
              <a:srgbClr val="085296"/>
            </a:solidFill>
            <a:miter lim="800000"/>
            <a:headEnd/>
            <a:tailEnd/>
          </a:ln>
          <a:effectLst/>
          <a:extLst>
            <a:ext uri="{AF507438-7753-43E0-B8FC-AC1667EBCBE1}">
              <a14:hiddenEffects xmlns:a14="http://schemas.microsoft.com/office/drawing/2010/main">
                <a:effectLst>
                  <a:outerShdw dist="35921" dir="2700000" algn="ctr" rotWithShape="0">
                    <a:srgbClr val="FFC000"/>
                  </a:outerShdw>
                </a:effectLst>
              </a14:hiddenEffects>
            </a:ext>
          </a:extLst>
        </xdr:spPr>
      </xdr:sp>
    </xdr:grpSp>
    <xdr:clientData/>
  </xdr:twoCellAnchor>
  <xdr:twoCellAnchor>
    <xdr:from>
      <xdr:col>2</xdr:col>
      <xdr:colOff>114301</xdr:colOff>
      <xdr:row>1</xdr:row>
      <xdr:rowOff>219074</xdr:rowOff>
    </xdr:from>
    <xdr:to>
      <xdr:col>15</xdr:col>
      <xdr:colOff>311151</xdr:colOff>
      <xdr:row>4</xdr:row>
      <xdr:rowOff>93125</xdr:rowOff>
    </xdr:to>
    <xdr:sp macro="" textlink="">
      <xdr:nvSpPr>
        <xdr:cNvPr id="1032" name="Text Box 8"/>
        <xdr:cNvSpPr txBox="1">
          <a:spLocks noChangeArrowheads="1"/>
        </xdr:cNvSpPr>
      </xdr:nvSpPr>
      <xdr:spPr bwMode="auto">
        <a:xfrm>
          <a:off x="463551" y="1679574"/>
          <a:ext cx="4629150" cy="521751"/>
        </a:xfrm>
        <a:prstGeom prst="rect">
          <a:avLst/>
        </a:prstGeom>
        <a:noFill/>
        <a:ln>
          <a:noFill/>
        </a:ln>
        <a:effectLst/>
        <a:extLst/>
      </xdr:spPr>
      <xdr:txBody>
        <a:bodyPr vertOverflow="clip" wrap="square" lIns="36576" tIns="36576" rIns="36576" bIns="36576" anchor="t" upright="1"/>
        <a:lstStyle/>
        <a:p>
          <a:pPr rtl="0"/>
          <a:r>
            <a:rPr lang="en-US" sz="2000" b="1" i="0" baseline="0">
              <a:latin typeface="+mn-lt"/>
              <a:ea typeface="+mn-ea"/>
              <a:cs typeface="+mn-cs"/>
            </a:rPr>
            <a:t>Proposition pour </a:t>
          </a:r>
          <a:r>
            <a:rPr lang="fr-CA" sz="2000" b="1">
              <a:latin typeface="+mn-lt"/>
              <a:ea typeface="+mn-ea"/>
              <a:cs typeface="+mn-cs"/>
            </a:rPr>
            <a:t>Opérateurs Forestiers</a:t>
          </a:r>
          <a:endParaRPr lang="en-US" sz="2000" b="1" i="0" u="none" strike="noStrike" baseline="0">
            <a:solidFill>
              <a:srgbClr val="000000"/>
            </a:solidFill>
            <a:latin typeface="Calibri"/>
            <a:cs typeface="Calibri"/>
          </a:endParaRPr>
        </a:p>
      </xdr:txBody>
    </xdr:sp>
    <xdr:clientData/>
  </xdr:twoCellAnchor>
  <xdr:twoCellAnchor>
    <xdr:from>
      <xdr:col>22</xdr:col>
      <xdr:colOff>302895</xdr:colOff>
      <xdr:row>0</xdr:row>
      <xdr:rowOff>190499</xdr:rowOff>
    </xdr:from>
    <xdr:to>
      <xdr:col>24</xdr:col>
      <xdr:colOff>539071</xdr:colOff>
      <xdr:row>0</xdr:row>
      <xdr:rowOff>360135</xdr:rowOff>
    </xdr:to>
    <xdr:sp macro="" textlink="">
      <xdr:nvSpPr>
        <xdr:cNvPr id="6" name="TextBox 5"/>
        <xdr:cNvSpPr txBox="1"/>
      </xdr:nvSpPr>
      <xdr:spPr>
        <a:xfrm>
          <a:off x="7115175" y="190499"/>
          <a:ext cx="6858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2015  V4 NB</a:t>
          </a:r>
        </a:p>
        <a:p>
          <a:endParaRPr lang="en-US" sz="800"/>
        </a:p>
        <a:p>
          <a:endParaRPr lang="en-US" sz="800"/>
        </a:p>
        <a:p>
          <a:endParaRPr lang="en-US" sz="800"/>
        </a:p>
        <a:p>
          <a:endParaRPr lang="en-US" sz="800"/>
        </a:p>
      </xdr:txBody>
    </xdr:sp>
    <xdr:clientData/>
  </xdr:twoCellAnchor>
  <xdr:twoCellAnchor editAs="oneCell">
    <xdr:from>
      <xdr:col>2</xdr:col>
      <xdr:colOff>444501</xdr:colOff>
      <xdr:row>0</xdr:row>
      <xdr:rowOff>468315</xdr:rowOff>
    </xdr:from>
    <xdr:to>
      <xdr:col>14</xdr:col>
      <xdr:colOff>163511</xdr:colOff>
      <xdr:row>1</xdr:row>
      <xdr:rowOff>90924</xdr:rowOff>
    </xdr:to>
    <xdr:pic>
      <xdr:nvPicPr>
        <xdr:cNvPr id="11"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4" y="468315"/>
          <a:ext cx="3663947" cy="1091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2</xdr:row>
      <xdr:rowOff>95250</xdr:rowOff>
    </xdr:from>
    <xdr:to>
      <xdr:col>18</xdr:col>
      <xdr:colOff>257174</xdr:colOff>
      <xdr:row>5</xdr:row>
      <xdr:rowOff>85725</xdr:rowOff>
    </xdr:to>
    <xdr:sp macro="" textlink="">
      <xdr:nvSpPr>
        <xdr:cNvPr id="4" name="Text Box 8"/>
        <xdr:cNvSpPr txBox="1">
          <a:spLocks noChangeArrowheads="1"/>
        </xdr:cNvSpPr>
      </xdr:nvSpPr>
      <xdr:spPr bwMode="auto">
        <a:xfrm>
          <a:off x="381000" y="1790700"/>
          <a:ext cx="6010274" cy="523875"/>
        </a:xfrm>
        <a:prstGeom prst="rect">
          <a:avLst/>
        </a:prstGeom>
        <a:noFill/>
        <a:ln>
          <a:noFill/>
        </a:ln>
        <a:effectLst/>
        <a:extLst/>
      </xdr:spPr>
      <xdr:txBody>
        <a:bodyPr vertOverflow="clip" wrap="square" lIns="36576" tIns="36576" rIns="36576" bIns="36576" anchor="t" upright="1"/>
        <a:lstStyle/>
        <a:p>
          <a:pPr algn="ctr" rtl="0">
            <a:defRPr sz="1000"/>
          </a:pPr>
          <a:r>
            <a:rPr lang="en-US" sz="3200" b="1" i="0" baseline="0">
              <a:effectLst/>
              <a:latin typeface="+mn-lt"/>
              <a:ea typeface="+mn-ea"/>
              <a:cs typeface="+mn-cs"/>
            </a:rPr>
            <a:t>Equipements Forestier</a:t>
          </a:r>
          <a:endParaRPr lang="en-US" sz="3200" b="1" i="0" u="none" strike="noStrike" baseline="0">
            <a:solidFill>
              <a:srgbClr val="000000"/>
            </a:solidFill>
            <a:latin typeface="Calibri"/>
            <a:cs typeface="Calibri"/>
          </a:endParaRPr>
        </a:p>
      </xdr:txBody>
    </xdr:sp>
    <xdr:clientData/>
  </xdr:twoCellAnchor>
  <xdr:twoCellAnchor editAs="oneCell">
    <xdr:from>
      <xdr:col>5</xdr:col>
      <xdr:colOff>114300</xdr:colOff>
      <xdr:row>1</xdr:row>
      <xdr:rowOff>190500</xdr:rowOff>
    </xdr:from>
    <xdr:to>
      <xdr:col>15</xdr:col>
      <xdr:colOff>177797</xdr:colOff>
      <xdr:row>1</xdr:row>
      <xdr:rowOff>1281547</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361950"/>
          <a:ext cx="3663947" cy="1091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182880</xdr:colOff>
      <xdr:row>0</xdr:row>
      <xdr:rowOff>106680</xdr:rowOff>
    </xdr:from>
    <xdr:to>
      <xdr:col>20</xdr:col>
      <xdr:colOff>236220</xdr:colOff>
      <xdr:row>1</xdr:row>
      <xdr:rowOff>45720</xdr:rowOff>
    </xdr:to>
    <xdr:grpSp>
      <xdr:nvGrpSpPr>
        <xdr:cNvPr id="8" name="Group 1055"/>
        <xdr:cNvGrpSpPr>
          <a:grpSpLocks/>
        </xdr:cNvGrpSpPr>
      </xdr:nvGrpSpPr>
      <xdr:grpSpPr bwMode="auto">
        <a:xfrm>
          <a:off x="287655" y="106680"/>
          <a:ext cx="6111240" cy="1463040"/>
          <a:chOff x="108813600" y="108813600"/>
          <a:chExt cx="2743200" cy="2743200"/>
        </a:xfrm>
        <a:solidFill>
          <a:schemeClr val="bg1"/>
        </a:solidFill>
      </xdr:grpSpPr>
      <xdr:sp macro="" textlink="">
        <xdr:nvSpPr>
          <xdr:cNvPr id="9" name="Rectangle 1056" hidden="1"/>
          <xdr:cNvSpPr>
            <a:spLocks noChangeArrowheads="1"/>
          </xdr:cNvSpPr>
        </xdr:nvSpPr>
        <xdr:spPr bwMode="auto">
          <a:xfrm>
            <a:off x="108813600" y="108813600"/>
            <a:ext cx="2743200" cy="2743200"/>
          </a:xfrm>
          <a:prstGeom prst="rect">
            <a:avLst/>
          </a:prstGeom>
          <a:grpFill/>
          <a:ln w="0" algn="ctr">
            <a:solidFill>
              <a:srgbClr val="08529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1057"/>
          <xdr:cNvSpPr>
            <a:spLocks noChangeArrowheads="1"/>
          </xdr:cNvSpPr>
        </xdr:nvSpPr>
        <xdr:spPr bwMode="auto">
          <a:xfrm>
            <a:off x="108813600" y="108813600"/>
            <a:ext cx="2743200" cy="2743200"/>
          </a:xfrm>
          <a:prstGeom prst="rect">
            <a:avLst/>
          </a:prstGeom>
          <a:grpFill/>
          <a:ln w="3175" algn="ctr">
            <a:solidFill>
              <a:srgbClr val="085296"/>
            </a:solidFill>
            <a:miter lim="800000"/>
            <a:headEnd/>
            <a:tailEnd/>
          </a:ln>
          <a:effectLst/>
          <a:extLst>
            <a:ext uri="{AF507438-7753-43E0-B8FC-AC1667EBCBE1}">
              <a14:hiddenEffects xmlns:a14="http://schemas.microsoft.com/office/drawing/2010/main">
                <a:effectLst>
                  <a:outerShdw dist="35921" dir="2700000" algn="ctr" rotWithShape="0">
                    <a:srgbClr val="FFC000"/>
                  </a:outerShdw>
                </a:effectLst>
              </a14:hiddenEffects>
            </a:ext>
          </a:extLst>
        </xdr:spPr>
      </xdr:sp>
    </xdr:grpSp>
    <xdr:clientData/>
  </xdr:twoCellAnchor>
  <xdr:twoCellAnchor>
    <xdr:from>
      <xdr:col>2</xdr:col>
      <xdr:colOff>417194</xdr:colOff>
      <xdr:row>1</xdr:row>
      <xdr:rowOff>17145</xdr:rowOff>
    </xdr:from>
    <xdr:to>
      <xdr:col>21</xdr:col>
      <xdr:colOff>100964</xdr:colOff>
      <xdr:row>3</xdr:row>
      <xdr:rowOff>253365</xdr:rowOff>
    </xdr:to>
    <xdr:sp macro="" textlink="">
      <xdr:nvSpPr>
        <xdr:cNvPr id="5" name="Text Box 8"/>
        <xdr:cNvSpPr txBox="1">
          <a:spLocks noChangeArrowheads="1"/>
        </xdr:cNvSpPr>
      </xdr:nvSpPr>
      <xdr:spPr bwMode="auto">
        <a:xfrm>
          <a:off x="767714" y="1541145"/>
          <a:ext cx="6038850" cy="525780"/>
        </a:xfrm>
        <a:prstGeom prst="rect">
          <a:avLst/>
        </a:prstGeom>
        <a:noFill/>
        <a:ln>
          <a:noFill/>
        </a:ln>
        <a:effectLst/>
        <a:extLst/>
      </xdr:spPr>
      <xdr:txBody>
        <a:bodyPr vertOverflow="clip" wrap="square" lIns="36576" tIns="36576" rIns="36576" bIns="36576" anchor="t" upright="1"/>
        <a:lstStyle/>
        <a:p>
          <a:pPr rtl="0"/>
          <a:r>
            <a:rPr lang="en-US" sz="2800" b="1" i="0" baseline="0">
              <a:latin typeface="+mn-lt"/>
              <a:ea typeface="+mn-ea"/>
              <a:cs typeface="+mn-cs"/>
            </a:rPr>
            <a:t>Soumission Equipements Forestier</a:t>
          </a:r>
          <a:endParaRPr lang="en-CA" sz="2800"/>
        </a:p>
        <a:p>
          <a:pPr algn="l" rtl="0">
            <a:defRPr sz="1000"/>
          </a:pPr>
          <a:endParaRPr lang="en-US" sz="2000" b="1" i="0" u="none" strike="noStrike" baseline="0">
            <a:solidFill>
              <a:srgbClr val="000000"/>
            </a:solidFill>
            <a:latin typeface="Calibri"/>
            <a:cs typeface="Calibri"/>
          </a:endParaRPr>
        </a:p>
      </xdr:txBody>
    </xdr:sp>
    <xdr:clientData/>
  </xdr:twoCellAnchor>
  <xdr:twoCellAnchor editAs="oneCell">
    <xdr:from>
      <xdr:col>5</xdr:col>
      <xdr:colOff>228600</xdr:colOff>
      <xdr:row>0</xdr:row>
      <xdr:rowOff>209550</xdr:rowOff>
    </xdr:from>
    <xdr:to>
      <xdr:col>16</xdr:col>
      <xdr:colOff>225422</xdr:colOff>
      <xdr:row>0</xdr:row>
      <xdr:rowOff>1300597</xdr:rowOff>
    </xdr:to>
    <xdr:pic>
      <xdr:nvPicPr>
        <xdr:cNvPr id="11"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209550"/>
          <a:ext cx="3663947" cy="1091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1971675</xdr:colOff>
      <xdr:row>0</xdr:row>
      <xdr:rowOff>1104900</xdr:rowOff>
    </xdr:from>
    <xdr:to>
      <xdr:col>7</xdr:col>
      <xdr:colOff>800100</xdr:colOff>
      <xdr:row>0</xdr:row>
      <xdr:rowOff>1447800</xdr:rowOff>
    </xdr:to>
    <xdr:sp macro="" textlink="">
      <xdr:nvSpPr>
        <xdr:cNvPr id="18" name="TextBox 17"/>
        <xdr:cNvSpPr txBox="1"/>
      </xdr:nvSpPr>
      <xdr:spPr>
        <a:xfrm>
          <a:off x="2076450" y="1104900"/>
          <a:ext cx="46101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dk1"/>
              </a:solidFill>
              <a:effectLst/>
              <a:latin typeface="+mn-lt"/>
              <a:ea typeface="+mn-ea"/>
              <a:cs typeface="+mn-cs"/>
            </a:rPr>
            <a:t>         </a:t>
          </a:r>
          <a:r>
            <a:rPr lang="en-US" sz="1800" b="1">
              <a:solidFill>
                <a:schemeClr val="dk1"/>
              </a:solidFill>
              <a:effectLst/>
              <a:latin typeface="+mn-lt"/>
              <a:ea typeface="+mn-ea"/>
              <a:cs typeface="+mn-cs"/>
            </a:rPr>
            <a:t>Soumission Responsabilite Civile</a:t>
          </a:r>
          <a:endParaRPr lang="en-CA" sz="1800" b="1">
            <a:effectLst/>
          </a:endParaRPr>
        </a:p>
      </xdr:txBody>
    </xdr:sp>
    <xdr:clientData/>
  </xdr:twoCellAnchor>
  <xdr:twoCellAnchor>
    <xdr:from>
      <xdr:col>0</xdr:col>
      <xdr:colOff>93785</xdr:colOff>
      <xdr:row>0</xdr:row>
      <xdr:rowOff>146538</xdr:rowOff>
    </xdr:from>
    <xdr:to>
      <xdr:col>6</xdr:col>
      <xdr:colOff>146539</xdr:colOff>
      <xdr:row>0</xdr:row>
      <xdr:rowOff>1002323</xdr:rowOff>
    </xdr:to>
    <xdr:grpSp>
      <xdr:nvGrpSpPr>
        <xdr:cNvPr id="8" name="Group 1055"/>
        <xdr:cNvGrpSpPr>
          <a:grpSpLocks/>
        </xdr:cNvGrpSpPr>
      </xdr:nvGrpSpPr>
      <xdr:grpSpPr bwMode="auto">
        <a:xfrm>
          <a:off x="93785" y="146538"/>
          <a:ext cx="4691429" cy="855785"/>
          <a:chOff x="108813600" y="108813600"/>
          <a:chExt cx="2743200" cy="2743200"/>
        </a:xfrm>
        <a:solidFill>
          <a:schemeClr val="bg1"/>
        </a:solidFill>
      </xdr:grpSpPr>
      <xdr:sp macro="" textlink="">
        <xdr:nvSpPr>
          <xdr:cNvPr id="9" name="Rectangle 1056" hidden="1"/>
          <xdr:cNvSpPr>
            <a:spLocks noChangeArrowheads="1"/>
          </xdr:cNvSpPr>
        </xdr:nvSpPr>
        <xdr:spPr bwMode="auto">
          <a:xfrm>
            <a:off x="108813600" y="108813600"/>
            <a:ext cx="2743200" cy="2743200"/>
          </a:xfrm>
          <a:prstGeom prst="rect">
            <a:avLst/>
          </a:prstGeom>
          <a:grpFill/>
          <a:ln w="0" algn="ctr">
            <a:solidFill>
              <a:srgbClr val="08529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1057"/>
          <xdr:cNvSpPr>
            <a:spLocks noChangeArrowheads="1"/>
          </xdr:cNvSpPr>
        </xdr:nvSpPr>
        <xdr:spPr bwMode="auto">
          <a:xfrm>
            <a:off x="108813600" y="108813600"/>
            <a:ext cx="2743200" cy="2743200"/>
          </a:xfrm>
          <a:prstGeom prst="rect">
            <a:avLst/>
          </a:prstGeom>
          <a:grpFill/>
          <a:ln w="3175" algn="ctr">
            <a:solidFill>
              <a:srgbClr val="085296"/>
            </a:solidFill>
            <a:miter lim="800000"/>
            <a:headEnd/>
            <a:tailEnd/>
          </a:ln>
          <a:effectLst/>
          <a:extLst>
            <a:ext uri="{AF507438-7753-43E0-B8FC-AC1667EBCBE1}">
              <a14:hiddenEffects xmlns:a14="http://schemas.microsoft.com/office/drawing/2010/main">
                <a:effectLst>
                  <a:outerShdw dist="35921" dir="2700000" algn="ctr" rotWithShape="0">
                    <a:srgbClr val="FFC000"/>
                  </a:outerShdw>
                </a:effectLst>
              </a14:hiddenEffects>
            </a:ext>
          </a:extLst>
        </xdr:spPr>
      </xdr:sp>
    </xdr:grpSp>
    <xdr:clientData/>
  </xdr:twoCellAnchor>
  <xdr:twoCellAnchor editAs="oneCell">
    <xdr:from>
      <xdr:col>1</xdr:col>
      <xdr:colOff>820616</xdr:colOff>
      <xdr:row>0</xdr:row>
      <xdr:rowOff>168521</xdr:rowOff>
    </xdr:from>
    <xdr:to>
      <xdr:col>4</xdr:col>
      <xdr:colOff>102576</xdr:colOff>
      <xdr:row>0</xdr:row>
      <xdr:rowOff>984516</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193" y="168521"/>
          <a:ext cx="2740268" cy="815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550687</xdr:colOff>
      <xdr:row>54</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46687" cy="874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171450</xdr:colOff>
      <xdr:row>0</xdr:row>
      <xdr:rowOff>609599</xdr:rowOff>
    </xdr:from>
    <xdr:to>
      <xdr:col>25</xdr:col>
      <xdr:colOff>285749</xdr:colOff>
      <xdr:row>0</xdr:row>
      <xdr:rowOff>895349</xdr:rowOff>
    </xdr:to>
    <xdr:sp macro="" textlink="">
      <xdr:nvSpPr>
        <xdr:cNvPr id="4" name="Text Box 8"/>
        <xdr:cNvSpPr txBox="1">
          <a:spLocks noChangeArrowheads="1"/>
        </xdr:cNvSpPr>
      </xdr:nvSpPr>
      <xdr:spPr bwMode="auto">
        <a:xfrm>
          <a:off x="2295525" y="609599"/>
          <a:ext cx="3981449" cy="285750"/>
        </a:xfrm>
        <a:prstGeom prst="rect">
          <a:avLst/>
        </a:prstGeom>
        <a:noFill/>
        <a:ln>
          <a:noFill/>
        </a:ln>
        <a:effectLst/>
        <a:extLst/>
      </xdr:spPr>
      <xdr:txBody>
        <a:bodyPr vertOverflow="clip" wrap="square" lIns="36576" tIns="36576" rIns="36576" bIns="36576" anchor="t" upright="1"/>
        <a:lstStyle/>
        <a:p>
          <a:pPr algn="l" rtl="0">
            <a:defRPr sz="1000"/>
          </a:pPr>
          <a:endParaRPr lang="en-US" sz="2000" b="1" i="0" u="none" strike="noStrike" baseline="0">
            <a:solidFill>
              <a:srgbClr val="000000"/>
            </a:solidFill>
            <a:latin typeface="Calibri"/>
            <a:cs typeface="Calibri"/>
          </a:endParaRPr>
        </a:p>
      </xdr:txBody>
    </xdr:sp>
    <xdr:clientData/>
  </xdr:twoCellAnchor>
  <xdr:twoCellAnchor>
    <xdr:from>
      <xdr:col>22</xdr:col>
      <xdr:colOff>304800</xdr:colOff>
      <xdr:row>0</xdr:row>
      <xdr:rowOff>190499</xdr:rowOff>
    </xdr:from>
    <xdr:to>
      <xdr:col>24</xdr:col>
      <xdr:colOff>552450</xdr:colOff>
      <xdr:row>0</xdr:row>
      <xdr:rowOff>352424</xdr:rowOff>
    </xdr:to>
    <xdr:sp macro="" textlink="">
      <xdr:nvSpPr>
        <xdr:cNvPr id="5" name="TextBox 4"/>
        <xdr:cNvSpPr txBox="1"/>
      </xdr:nvSpPr>
      <xdr:spPr>
        <a:xfrm>
          <a:off x="5343525" y="190499"/>
          <a:ext cx="6477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2013   V9</a:t>
          </a:r>
        </a:p>
      </xdr:txBody>
    </xdr:sp>
    <xdr:clientData/>
  </xdr:twoCellAnchor>
  <xdr:twoCellAnchor>
    <xdr:from>
      <xdr:col>4</xdr:col>
      <xdr:colOff>390525</xdr:colOff>
      <xdr:row>0</xdr:row>
      <xdr:rowOff>962024</xdr:rowOff>
    </xdr:from>
    <xdr:to>
      <xdr:col>22</xdr:col>
      <xdr:colOff>257174</xdr:colOff>
      <xdr:row>0</xdr:row>
      <xdr:rowOff>1247774</xdr:rowOff>
    </xdr:to>
    <xdr:sp macro="" textlink="">
      <xdr:nvSpPr>
        <xdr:cNvPr id="8" name="Text Box 8"/>
        <xdr:cNvSpPr txBox="1">
          <a:spLocks noChangeArrowheads="1"/>
        </xdr:cNvSpPr>
      </xdr:nvSpPr>
      <xdr:spPr bwMode="auto">
        <a:xfrm>
          <a:off x="1314450" y="962024"/>
          <a:ext cx="3981449" cy="285750"/>
        </a:xfrm>
        <a:prstGeom prst="rect">
          <a:avLst/>
        </a:prstGeom>
        <a:noFill/>
        <a:ln>
          <a:noFill/>
        </a:ln>
        <a:effectLst/>
        <a:extLst/>
      </xdr:spPr>
      <xdr:txBody>
        <a:bodyPr vertOverflow="clip" wrap="square" lIns="36576" tIns="36576" rIns="36576" bIns="36576" anchor="t" upright="1"/>
        <a:lstStyle/>
        <a:p>
          <a:pPr algn="l" rtl="0">
            <a:defRPr sz="1000"/>
          </a:pPr>
          <a:r>
            <a:rPr lang="en-US" sz="1600" b="1" i="0" u="none" strike="noStrike" baseline="0">
              <a:solidFill>
                <a:srgbClr val="000000"/>
              </a:solidFill>
              <a:latin typeface="Arial Black" pitchFamily="34" charset="0"/>
              <a:cs typeface="Calibri"/>
            </a:rPr>
            <a:t>Questionnaire de Réclamation Détaillé</a:t>
          </a:r>
        </a:p>
        <a:p>
          <a:pPr algn="l" rtl="0">
            <a:defRPr sz="1000"/>
          </a:pPr>
          <a:endParaRPr lang="en-US" sz="2000" b="1" i="0" u="none" strike="noStrike" baseline="0">
            <a:solidFill>
              <a:srgbClr val="000000"/>
            </a:solidFill>
            <a:latin typeface="Calibri"/>
            <a:cs typeface="Calibri"/>
          </a:endParaRPr>
        </a:p>
      </xdr:txBody>
    </xdr:sp>
    <xdr:clientData/>
  </xdr:twoCellAnchor>
  <xdr:twoCellAnchor>
    <xdr:from>
      <xdr:col>22</xdr:col>
      <xdr:colOff>304800</xdr:colOff>
      <xdr:row>0</xdr:row>
      <xdr:rowOff>190499</xdr:rowOff>
    </xdr:from>
    <xdr:to>
      <xdr:col>24</xdr:col>
      <xdr:colOff>552450</xdr:colOff>
      <xdr:row>0</xdr:row>
      <xdr:rowOff>352424</xdr:rowOff>
    </xdr:to>
    <xdr:sp macro="" textlink="">
      <xdr:nvSpPr>
        <xdr:cNvPr id="9" name="TextBox 8"/>
        <xdr:cNvSpPr txBox="1"/>
      </xdr:nvSpPr>
      <xdr:spPr>
        <a:xfrm>
          <a:off x="5762625" y="190499"/>
          <a:ext cx="6477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2013   V9</a:t>
          </a:r>
        </a:p>
      </xdr:txBody>
    </xdr:sp>
    <xdr:clientData/>
  </xdr:twoCellAnchor>
  <xdr:twoCellAnchor editAs="oneCell">
    <xdr:from>
      <xdr:col>5</xdr:col>
      <xdr:colOff>247650</xdr:colOff>
      <xdr:row>0</xdr:row>
      <xdr:rowOff>76201</xdr:rowOff>
    </xdr:from>
    <xdr:to>
      <xdr:col>15</xdr:col>
      <xdr:colOff>19050</xdr:colOff>
      <xdr:row>0</xdr:row>
      <xdr:rowOff>980995</xdr:rowOff>
    </xdr:to>
    <xdr:pic>
      <xdr:nvPicPr>
        <xdr:cNvPr id="1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76201"/>
          <a:ext cx="3038475" cy="904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1</xdr:row>
      <xdr:rowOff>57150</xdr:rowOff>
    </xdr:from>
    <xdr:to>
      <xdr:col>4</xdr:col>
      <xdr:colOff>285750</xdr:colOff>
      <xdr:row>7</xdr:row>
      <xdr:rowOff>57150</xdr:rowOff>
    </xdr:to>
    <xdr:pic>
      <xdr:nvPicPr>
        <xdr:cNvPr id="4371" name="Picture 2" descr="image001"/>
        <xdr:cNvPicPr>
          <a:picLocks noChangeAspect="1" noChangeArrowheads="1"/>
        </xdr:cNvPicPr>
      </xdr:nvPicPr>
      <xdr:blipFill>
        <a:blip xmlns:r="http://schemas.openxmlformats.org/officeDocument/2006/relationships" r:embed="rId1" cstate="print"/>
        <a:srcRect/>
        <a:stretch>
          <a:fillRect/>
        </a:stretch>
      </xdr:blipFill>
      <xdr:spPr bwMode="auto">
        <a:xfrm>
          <a:off x="171450" y="95250"/>
          <a:ext cx="1038225" cy="9048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76200</xdr:colOff>
      <xdr:row>1</xdr:row>
      <xdr:rowOff>19050</xdr:rowOff>
    </xdr:from>
    <xdr:to>
      <xdr:col>4</xdr:col>
      <xdr:colOff>352425</xdr:colOff>
      <xdr:row>4</xdr:row>
      <xdr:rowOff>200025</xdr:rowOff>
    </xdr:to>
    <xdr:pic>
      <xdr:nvPicPr>
        <xdr:cNvPr id="5395"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71475" y="190500"/>
          <a:ext cx="838200" cy="942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CAM%20-%20FORESTRY,%20MINING%20AND%20CONSTRUCTION\FORESTRY%20SPECIFIC\NBS%20FORESTRY%20EQUIP-CGL%20APP%20%202015%20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elaide\AppData\Local\Microsoft\Windows\Temporary%20Internet%20Files\Content.Outlook\9IX8PMOG\Proposition%20Foresti&#232;re%202015%20T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scn-nbs.com/LOMBARD%20APP%20FOR%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FORESTRY%20-%20RATER%20AND%20INFO\NBS%20FORESTRY%20EQUIP-CGL%20APP%202013%20%20v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scn-nbs.com/Users/CAM/Documents/NBS%20-%20FORMS,%20WORDINGS/DEDUCTIBLE%20BUY-DOWN/NBS%20DEDUCTIBLE%20BUY-DOWN%20APP-RATER%20-%20Master%20updated%20Jan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PW PRINT TO PDF"/>
      <sheetName val="PROPERTY"/>
      <sheetName val="WARRANTY"/>
      <sheetName val="LIABILITY"/>
      <sheetName val="CLAIM QUESTIONNAIRE"/>
      <sheetName val="hide"/>
      <sheetName val="DEDUCTIBLE BUY-DOWN"/>
    </sheetNames>
    <sheetDataSet>
      <sheetData sheetId="0">
        <row r="13">
          <cell r="F13" t="str">
            <v>N</v>
          </cell>
          <cell r="N13" t="str">
            <v>NONE</v>
          </cell>
        </row>
        <row r="15">
          <cell r="F15" t="str">
            <v xml:space="preserve"> </v>
          </cell>
        </row>
        <row r="21">
          <cell r="S21" t="str">
            <v>Y</v>
          </cell>
          <cell r="Y21">
            <v>20000</v>
          </cell>
          <cell r="Z21">
            <v>2499</v>
          </cell>
          <cell r="AA21">
            <v>0</v>
          </cell>
        </row>
        <row r="22">
          <cell r="S22" t="str">
            <v>Y</v>
          </cell>
          <cell r="Z22">
            <v>2499</v>
          </cell>
          <cell r="AA22">
            <v>0</v>
          </cell>
        </row>
        <row r="23">
          <cell r="S23" t="str">
            <v>Y</v>
          </cell>
          <cell r="Z23">
            <v>2499</v>
          </cell>
          <cell r="AA23">
            <v>0</v>
          </cell>
        </row>
        <row r="24">
          <cell r="S24" t="str">
            <v>Y</v>
          </cell>
          <cell r="Z24">
            <v>2499</v>
          </cell>
          <cell r="AA24">
            <v>0</v>
          </cell>
        </row>
        <row r="25">
          <cell r="S25" t="str">
            <v>Y</v>
          </cell>
          <cell r="Z25">
            <v>2499</v>
          </cell>
          <cell r="AA25">
            <v>0</v>
          </cell>
        </row>
        <row r="26">
          <cell r="S26" t="str">
            <v>Y</v>
          </cell>
          <cell r="Z26">
            <v>2499</v>
          </cell>
          <cell r="AA26">
            <v>0</v>
          </cell>
        </row>
        <row r="27">
          <cell r="S27" t="str">
            <v>Y</v>
          </cell>
          <cell r="Z27">
            <v>2499</v>
          </cell>
          <cell r="AA27">
            <v>0</v>
          </cell>
        </row>
        <row r="28">
          <cell r="S28" t="str">
            <v>Y</v>
          </cell>
          <cell r="Z28">
            <v>2499</v>
          </cell>
          <cell r="AA28">
            <v>0</v>
          </cell>
        </row>
        <row r="29">
          <cell r="S29" t="str">
            <v>Y</v>
          </cell>
          <cell r="Z29">
            <v>2499</v>
          </cell>
          <cell r="AA29">
            <v>0</v>
          </cell>
        </row>
        <row r="30">
          <cell r="S30" t="str">
            <v>Y</v>
          </cell>
          <cell r="Z30">
            <v>2499</v>
          </cell>
          <cell r="AA30">
            <v>0</v>
          </cell>
        </row>
        <row r="31">
          <cell r="S31" t="str">
            <v>Y</v>
          </cell>
          <cell r="Z31">
            <v>2499</v>
          </cell>
          <cell r="AA31">
            <v>0</v>
          </cell>
        </row>
        <row r="32">
          <cell r="S32" t="str">
            <v>Y</v>
          </cell>
          <cell r="Z32">
            <v>2499</v>
          </cell>
          <cell r="AA32">
            <v>0</v>
          </cell>
        </row>
        <row r="33">
          <cell r="S33" t="str">
            <v>Y</v>
          </cell>
          <cell r="Z33">
            <v>2499</v>
          </cell>
          <cell r="AA33">
            <v>0</v>
          </cell>
        </row>
        <row r="34">
          <cell r="S34" t="str">
            <v>Y</v>
          </cell>
          <cell r="Z34">
            <v>2499</v>
          </cell>
          <cell r="AA34">
            <v>0</v>
          </cell>
        </row>
        <row r="35">
          <cell r="S35" t="str">
            <v>Y</v>
          </cell>
          <cell r="Z35">
            <v>2499</v>
          </cell>
          <cell r="AA35">
            <v>0</v>
          </cell>
        </row>
        <row r="36">
          <cell r="S36" t="str">
            <v>Y</v>
          </cell>
          <cell r="Z36">
            <v>2499</v>
          </cell>
          <cell r="AA36">
            <v>0</v>
          </cell>
        </row>
        <row r="37">
          <cell r="S37" t="str">
            <v>Y</v>
          </cell>
          <cell r="Z37">
            <v>2499</v>
          </cell>
          <cell r="AA37">
            <v>0</v>
          </cell>
        </row>
        <row r="38">
          <cell r="S38" t="str">
            <v>Y</v>
          </cell>
          <cell r="Z38">
            <v>2499</v>
          </cell>
          <cell r="AA38">
            <v>0</v>
          </cell>
        </row>
        <row r="39">
          <cell r="S39" t="str">
            <v>Y</v>
          </cell>
          <cell r="Z39">
            <v>2499</v>
          </cell>
          <cell r="AA39">
            <v>0</v>
          </cell>
        </row>
        <row r="40">
          <cell r="S40" t="str">
            <v>Y</v>
          </cell>
          <cell r="Z40">
            <v>2499</v>
          </cell>
          <cell r="AA40">
            <v>0</v>
          </cell>
        </row>
        <row r="41">
          <cell r="S41" t="str">
            <v>Y</v>
          </cell>
          <cell r="Z41">
            <v>2499</v>
          </cell>
          <cell r="AA41">
            <v>0</v>
          </cell>
        </row>
        <row r="42">
          <cell r="S42" t="str">
            <v>Y</v>
          </cell>
          <cell r="Z42">
            <v>2499</v>
          </cell>
          <cell r="AA42">
            <v>0</v>
          </cell>
        </row>
        <row r="43">
          <cell r="S43" t="str">
            <v>Y</v>
          </cell>
          <cell r="Z43">
            <v>2499</v>
          </cell>
          <cell r="AA43">
            <v>0</v>
          </cell>
        </row>
        <row r="44">
          <cell r="S44" t="str">
            <v>Y</v>
          </cell>
          <cell r="Z44">
            <v>2499</v>
          </cell>
          <cell r="AA44">
            <v>0</v>
          </cell>
        </row>
        <row r="45">
          <cell r="S45" t="str">
            <v>Y</v>
          </cell>
          <cell r="Z45">
            <v>2499</v>
          </cell>
          <cell r="AA45">
            <v>0</v>
          </cell>
        </row>
        <row r="134">
          <cell r="K134" t="str">
            <v xml:space="preserve"> </v>
          </cell>
        </row>
        <row r="165">
          <cell r="K165" t="str">
            <v xml:space="preserve"> </v>
          </cell>
        </row>
      </sheetData>
      <sheetData sheetId="1"/>
      <sheetData sheetId="2"/>
      <sheetData sheetId="3"/>
      <sheetData sheetId="4">
        <row r="28">
          <cell r="G28">
            <v>0</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ITION"/>
      <sheetName val="PW print to PDF"/>
      <sheetName val="EQUIPEMENTS"/>
      <sheetName val="RESPONSABILITE CIVILE"/>
      <sheetName val="Annexes supplementaires"/>
      <sheetName val="List des Pieces et Outils"/>
      <sheetName val="ENGAGEMENTS FORMELS"/>
      <sheetName val="QUESTIONNAIRE DE RECLAMATION"/>
      <sheetName val="DBD app hide"/>
      <sheetName val="DBD hide"/>
    </sheetNames>
    <sheetDataSet>
      <sheetData sheetId="0" refreshError="1"/>
      <sheetData sheetId="1" refreshError="1"/>
      <sheetData sheetId="2">
        <row r="24">
          <cell r="P24">
            <v>9.9999999999999995E-8</v>
          </cell>
          <cell r="R24">
            <v>1500</v>
          </cell>
        </row>
        <row r="25">
          <cell r="P25">
            <v>9.9999999999999995E-8</v>
          </cell>
          <cell r="R25">
            <v>1500</v>
          </cell>
        </row>
        <row r="26">
          <cell r="P26">
            <v>9.9999999999999995E-8</v>
          </cell>
          <cell r="R26">
            <v>1500</v>
          </cell>
        </row>
        <row r="27">
          <cell r="P27">
            <v>9.9999999999999995E-8</v>
          </cell>
          <cell r="R27">
            <v>1500</v>
          </cell>
        </row>
        <row r="28">
          <cell r="P28">
            <v>9.9999999999999995E-8</v>
          </cell>
          <cell r="R28">
            <v>1500</v>
          </cell>
        </row>
        <row r="29">
          <cell r="P29">
            <v>9.9999999999999995E-8</v>
          </cell>
          <cell r="R29">
            <v>1500</v>
          </cell>
        </row>
        <row r="30">
          <cell r="P30">
            <v>9.9999999999999995E-8</v>
          </cell>
          <cell r="R30">
            <v>1500</v>
          </cell>
        </row>
        <row r="31">
          <cell r="P31">
            <v>9.9999999999999995E-8</v>
          </cell>
          <cell r="R31">
            <v>1500</v>
          </cell>
        </row>
        <row r="32">
          <cell r="P32">
            <v>9.9999999999999995E-8</v>
          </cell>
          <cell r="R32">
            <v>1500</v>
          </cell>
        </row>
        <row r="33">
          <cell r="P33">
            <v>9.9999999999999995E-8</v>
          </cell>
          <cell r="R33">
            <v>1500</v>
          </cell>
        </row>
        <row r="34">
          <cell r="P34">
            <v>9.9999999999999995E-8</v>
          </cell>
          <cell r="R34">
            <v>1500</v>
          </cell>
        </row>
        <row r="35">
          <cell r="P35">
            <v>9.9999999999999995E-8</v>
          </cell>
          <cell r="R35">
            <v>1500</v>
          </cell>
        </row>
        <row r="36">
          <cell r="P36">
            <v>9.9999999999999995E-8</v>
          </cell>
          <cell r="R36">
            <v>1500</v>
          </cell>
        </row>
        <row r="37">
          <cell r="P37">
            <v>9.9999999999999995E-8</v>
          </cell>
          <cell r="R37">
            <v>1500</v>
          </cell>
        </row>
        <row r="38">
          <cell r="P38">
            <v>9.9999999999999995E-8</v>
          </cell>
          <cell r="R38">
            <v>1500</v>
          </cell>
        </row>
        <row r="39">
          <cell r="P39">
            <v>9.9999999999999995E-8</v>
          </cell>
          <cell r="R39">
            <v>1500</v>
          </cell>
        </row>
        <row r="40">
          <cell r="P40">
            <v>9.9999999999999995E-8</v>
          </cell>
          <cell r="R40">
            <v>1500</v>
          </cell>
        </row>
        <row r="41">
          <cell r="P41">
            <v>9.9999999999999995E-8</v>
          </cell>
          <cell r="R41">
            <v>1500</v>
          </cell>
        </row>
        <row r="42">
          <cell r="P42">
            <v>9.9999999999999995E-8</v>
          </cell>
          <cell r="R42">
            <v>1500</v>
          </cell>
        </row>
        <row r="43">
          <cell r="P43">
            <v>9.9999999999999995E-8</v>
          </cell>
          <cell r="R43">
            <v>1500</v>
          </cell>
        </row>
        <row r="44">
          <cell r="P44">
            <v>9.9999999999999995E-8</v>
          </cell>
          <cell r="R44">
            <v>1500</v>
          </cell>
        </row>
        <row r="45">
          <cell r="P45">
            <v>9.9999999999999995E-8</v>
          </cell>
          <cell r="R45">
            <v>1500</v>
          </cell>
        </row>
        <row r="46">
          <cell r="P46">
            <v>9.9999999999999995E-8</v>
          </cell>
          <cell r="R46">
            <v>1500</v>
          </cell>
        </row>
        <row r="47">
          <cell r="P47">
            <v>9.9999999999999995E-8</v>
          </cell>
          <cell r="R47">
            <v>1500</v>
          </cell>
        </row>
        <row r="48">
          <cell r="P48">
            <v>9.9999999999999995E-8</v>
          </cell>
          <cell r="R48">
            <v>1500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 QUESTIONNAIRE"/>
      <sheetName val="WARRANTY"/>
      <sheetName val="RATER"/>
      <sheetName val="DBD Schedule"/>
      <sheetName val="NBS DBD  "/>
      <sheetName val="NBS LIABILITY"/>
    </sheetNames>
    <sheetDataSet>
      <sheetData sheetId="0" refreshError="1">
        <row r="8">
          <cell r="F8" t="str">
            <v xml:space="preserve"> </v>
          </cell>
          <cell r="U8" t="str">
            <v xml:space="preserve"> </v>
          </cell>
        </row>
        <row r="10">
          <cell r="F10" t="str">
            <v xml:space="preserve"> </v>
          </cell>
        </row>
        <row r="11">
          <cell r="F11" t="str">
            <v xml:space="preserve"> </v>
          </cell>
          <cell r="U11" t="str">
            <v xml:space="preserve"> </v>
          </cell>
        </row>
        <row r="13">
          <cell r="U13" t="str">
            <v xml:space="preserve"> </v>
          </cell>
        </row>
        <row r="15">
          <cell r="F15" t="str">
            <v xml:space="preserve"> </v>
          </cell>
          <cell r="U15" t="str">
            <v>AGENCY BILL</v>
          </cell>
        </row>
        <row r="21">
          <cell r="D21" t="str">
            <v xml:space="preserve"> </v>
          </cell>
          <cell r="G21" t="str">
            <v xml:space="preserve"> </v>
          </cell>
          <cell r="J21" t="str">
            <v xml:space="preserve"> </v>
          </cell>
          <cell r="M21" t="str">
            <v xml:space="preserve"> </v>
          </cell>
          <cell r="P21">
            <v>0</v>
          </cell>
        </row>
        <row r="22">
          <cell r="D22" t="str">
            <v xml:space="preserve"> </v>
          </cell>
          <cell r="G22" t="str">
            <v xml:space="preserve"> </v>
          </cell>
          <cell r="J22" t="str">
            <v xml:space="preserve"> </v>
          </cell>
          <cell r="M22" t="str">
            <v xml:space="preserve"> </v>
          </cell>
          <cell r="P22">
            <v>0</v>
          </cell>
        </row>
        <row r="23">
          <cell r="D23" t="str">
            <v xml:space="preserve"> </v>
          </cell>
          <cell r="G23" t="str">
            <v xml:space="preserve"> </v>
          </cell>
          <cell r="J23" t="str">
            <v xml:space="preserve"> </v>
          </cell>
          <cell r="M23" t="str">
            <v xml:space="preserve"> </v>
          </cell>
          <cell r="P23">
            <v>0</v>
          </cell>
        </row>
        <row r="24">
          <cell r="D24" t="str">
            <v xml:space="preserve"> </v>
          </cell>
          <cell r="G24" t="str">
            <v xml:space="preserve"> </v>
          </cell>
          <cell r="J24" t="str">
            <v xml:space="preserve"> </v>
          </cell>
          <cell r="M24" t="str">
            <v xml:space="preserve"> </v>
          </cell>
          <cell r="P24">
            <v>0</v>
          </cell>
        </row>
        <row r="25">
          <cell r="D25" t="str">
            <v xml:space="preserve"> </v>
          </cell>
          <cell r="G25" t="str">
            <v xml:space="preserve"> </v>
          </cell>
          <cell r="J25" t="str">
            <v xml:space="preserve"> </v>
          </cell>
          <cell r="M25" t="str">
            <v xml:space="preserve"> </v>
          </cell>
          <cell r="P25">
            <v>0</v>
          </cell>
        </row>
        <row r="26">
          <cell r="D26" t="str">
            <v xml:space="preserve"> </v>
          </cell>
          <cell r="G26" t="str">
            <v xml:space="preserve"> </v>
          </cell>
          <cell r="J26" t="str">
            <v xml:space="preserve"> </v>
          </cell>
          <cell r="M26" t="str">
            <v xml:space="preserve"> </v>
          </cell>
          <cell r="P26">
            <v>0</v>
          </cell>
        </row>
        <row r="27">
          <cell r="D27" t="str">
            <v xml:space="preserve"> </v>
          </cell>
          <cell r="G27" t="str">
            <v xml:space="preserve"> </v>
          </cell>
          <cell r="J27" t="str">
            <v xml:space="preserve"> </v>
          </cell>
          <cell r="M27" t="str">
            <v xml:space="preserve"> </v>
          </cell>
          <cell r="P27">
            <v>0</v>
          </cell>
        </row>
        <row r="28">
          <cell r="D28" t="str">
            <v xml:space="preserve"> </v>
          </cell>
          <cell r="G28" t="str">
            <v xml:space="preserve"> </v>
          </cell>
          <cell r="J28" t="str">
            <v xml:space="preserve"> </v>
          </cell>
          <cell r="M28" t="str">
            <v xml:space="preserve"> </v>
          </cell>
          <cell r="P28">
            <v>0</v>
          </cell>
        </row>
        <row r="29">
          <cell r="D29" t="str">
            <v xml:space="preserve"> </v>
          </cell>
          <cell r="G29" t="str">
            <v xml:space="preserve"> </v>
          </cell>
          <cell r="J29" t="str">
            <v xml:space="preserve"> </v>
          </cell>
          <cell r="M29" t="str">
            <v xml:space="preserve"> </v>
          </cell>
          <cell r="P29">
            <v>0</v>
          </cell>
        </row>
        <row r="30">
          <cell r="D30" t="str">
            <v xml:space="preserve"> </v>
          </cell>
          <cell r="G30" t="str">
            <v xml:space="preserve"> </v>
          </cell>
          <cell r="J30" t="str">
            <v xml:space="preserve"> </v>
          </cell>
          <cell r="M30" t="str">
            <v xml:space="preserve"> </v>
          </cell>
          <cell r="P30">
            <v>0</v>
          </cell>
        </row>
        <row r="31">
          <cell r="D31" t="str">
            <v xml:space="preserve"> </v>
          </cell>
          <cell r="G31" t="str">
            <v xml:space="preserve"> </v>
          </cell>
          <cell r="J31" t="str">
            <v xml:space="preserve"> </v>
          </cell>
          <cell r="M31" t="str">
            <v xml:space="preserve"> </v>
          </cell>
          <cell r="P31">
            <v>0</v>
          </cell>
        </row>
        <row r="32">
          <cell r="D32" t="str">
            <v xml:space="preserve"> </v>
          </cell>
          <cell r="G32" t="str">
            <v xml:space="preserve"> </v>
          </cell>
          <cell r="J32" t="str">
            <v xml:space="preserve"> </v>
          </cell>
          <cell r="M32" t="str">
            <v xml:space="preserve"> </v>
          </cell>
          <cell r="P32">
            <v>0</v>
          </cell>
        </row>
        <row r="33">
          <cell r="D33" t="str">
            <v xml:space="preserve"> </v>
          </cell>
          <cell r="G33" t="str">
            <v xml:space="preserve"> </v>
          </cell>
          <cell r="J33" t="str">
            <v xml:space="preserve"> </v>
          </cell>
          <cell r="M33" t="str">
            <v xml:space="preserve"> </v>
          </cell>
          <cell r="P33">
            <v>0</v>
          </cell>
        </row>
        <row r="34">
          <cell r="D34" t="str">
            <v xml:space="preserve"> </v>
          </cell>
          <cell r="G34" t="str">
            <v xml:space="preserve"> </v>
          </cell>
          <cell r="J34" t="str">
            <v xml:space="preserve"> </v>
          </cell>
          <cell r="M34" t="str">
            <v xml:space="preserve"> </v>
          </cell>
          <cell r="P34">
            <v>0</v>
          </cell>
        </row>
        <row r="35">
          <cell r="D35" t="str">
            <v xml:space="preserve"> </v>
          </cell>
          <cell r="G35" t="str">
            <v xml:space="preserve"> </v>
          </cell>
          <cell r="J35" t="str">
            <v xml:space="preserve"> </v>
          </cell>
          <cell r="M35" t="str">
            <v xml:space="preserve"> </v>
          </cell>
          <cell r="P35">
            <v>0</v>
          </cell>
        </row>
        <row r="36">
          <cell r="D36" t="str">
            <v xml:space="preserve"> </v>
          </cell>
          <cell r="G36" t="str">
            <v xml:space="preserve"> </v>
          </cell>
          <cell r="J36" t="str">
            <v xml:space="preserve"> </v>
          </cell>
          <cell r="M36" t="str">
            <v xml:space="preserve"> </v>
          </cell>
          <cell r="P36">
            <v>0</v>
          </cell>
        </row>
        <row r="37">
          <cell r="D37" t="str">
            <v xml:space="preserve"> </v>
          </cell>
          <cell r="G37" t="str">
            <v xml:space="preserve"> </v>
          </cell>
          <cell r="J37" t="str">
            <v xml:space="preserve"> </v>
          </cell>
          <cell r="M37" t="str">
            <v xml:space="preserve"> </v>
          </cell>
          <cell r="P37">
            <v>0</v>
          </cell>
        </row>
        <row r="38">
          <cell r="D38" t="str">
            <v xml:space="preserve"> </v>
          </cell>
          <cell r="G38" t="str">
            <v xml:space="preserve"> </v>
          </cell>
          <cell r="J38" t="str">
            <v xml:space="preserve"> </v>
          </cell>
          <cell r="M38" t="str">
            <v xml:space="preserve"> </v>
          </cell>
          <cell r="P38">
            <v>0</v>
          </cell>
        </row>
        <row r="39">
          <cell r="D39" t="str">
            <v xml:space="preserve"> </v>
          </cell>
          <cell r="G39" t="str">
            <v xml:space="preserve"> </v>
          </cell>
          <cell r="J39" t="str">
            <v xml:space="preserve"> </v>
          </cell>
          <cell r="M39" t="str">
            <v xml:space="preserve"> </v>
          </cell>
          <cell r="P39">
            <v>0</v>
          </cell>
        </row>
        <row r="40">
          <cell r="D40" t="str">
            <v xml:space="preserve"> </v>
          </cell>
          <cell r="G40" t="str">
            <v xml:space="preserve"> </v>
          </cell>
          <cell r="J40" t="str">
            <v xml:space="preserve"> </v>
          </cell>
          <cell r="M40" t="str">
            <v xml:space="preserve"> </v>
          </cell>
          <cell r="P40">
            <v>0</v>
          </cell>
        </row>
        <row r="41">
          <cell r="D41" t="str">
            <v xml:space="preserve"> </v>
          </cell>
          <cell r="G41" t="str">
            <v xml:space="preserve"> </v>
          </cell>
          <cell r="J41" t="str">
            <v xml:space="preserve"> </v>
          </cell>
          <cell r="M41" t="str">
            <v xml:space="preserve"> </v>
          </cell>
          <cell r="P41">
            <v>0</v>
          </cell>
        </row>
        <row r="42">
          <cell r="D42" t="str">
            <v xml:space="preserve"> </v>
          </cell>
          <cell r="G42" t="str">
            <v xml:space="preserve"> </v>
          </cell>
          <cell r="J42" t="str">
            <v xml:space="preserve"> </v>
          </cell>
          <cell r="M42" t="str">
            <v xml:space="preserve"> </v>
          </cell>
          <cell r="P42">
            <v>0</v>
          </cell>
        </row>
        <row r="43">
          <cell r="D43" t="str">
            <v xml:space="preserve"> </v>
          </cell>
          <cell r="G43" t="str">
            <v xml:space="preserve"> </v>
          </cell>
          <cell r="J43" t="str">
            <v xml:space="preserve"> </v>
          </cell>
          <cell r="M43" t="str">
            <v xml:space="preserve"> </v>
          </cell>
          <cell r="P43">
            <v>0</v>
          </cell>
        </row>
        <row r="44">
          <cell r="D44" t="str">
            <v xml:space="preserve"> </v>
          </cell>
          <cell r="G44" t="str">
            <v xml:space="preserve"> </v>
          </cell>
          <cell r="J44" t="str">
            <v xml:space="preserve"> </v>
          </cell>
          <cell r="M44" t="str">
            <v xml:space="preserve"> </v>
          </cell>
          <cell r="P44">
            <v>0</v>
          </cell>
        </row>
        <row r="45">
          <cell r="D45" t="str">
            <v xml:space="preserve"> </v>
          </cell>
          <cell r="G45" t="str">
            <v xml:space="preserve"> </v>
          </cell>
          <cell r="J45" t="str">
            <v xml:space="preserve"> </v>
          </cell>
          <cell r="M45" t="str">
            <v xml:space="preserve"> </v>
          </cell>
          <cell r="P45">
            <v>0</v>
          </cell>
        </row>
      </sheetData>
      <sheetData sheetId="1" refreshError="1"/>
      <sheetData sheetId="2" refreshError="1">
        <row r="22">
          <cell r="Z22">
            <v>0</v>
          </cell>
        </row>
        <row r="23">
          <cell r="Z23">
            <v>0</v>
          </cell>
        </row>
        <row r="24">
          <cell r="Z24">
            <v>0</v>
          </cell>
        </row>
        <row r="25">
          <cell r="Z25">
            <v>0</v>
          </cell>
        </row>
        <row r="26">
          <cell r="Z26">
            <v>0</v>
          </cell>
        </row>
        <row r="27">
          <cell r="Z27">
            <v>0</v>
          </cell>
        </row>
        <row r="28">
          <cell r="Z28">
            <v>0</v>
          </cell>
        </row>
        <row r="29">
          <cell r="Z29">
            <v>0</v>
          </cell>
        </row>
        <row r="30">
          <cell r="Z30">
            <v>0</v>
          </cell>
        </row>
        <row r="31">
          <cell r="Z31">
            <v>0</v>
          </cell>
        </row>
        <row r="32">
          <cell r="Z32">
            <v>0</v>
          </cell>
        </row>
        <row r="33">
          <cell r="Z33">
            <v>0</v>
          </cell>
        </row>
        <row r="34">
          <cell r="Z34">
            <v>0</v>
          </cell>
        </row>
        <row r="35">
          <cell r="Z35">
            <v>0</v>
          </cell>
        </row>
        <row r="36">
          <cell r="Z36">
            <v>0</v>
          </cell>
        </row>
        <row r="37">
          <cell r="Z37">
            <v>0</v>
          </cell>
        </row>
        <row r="38">
          <cell r="Z38">
            <v>0</v>
          </cell>
        </row>
        <row r="39">
          <cell r="Z39">
            <v>0</v>
          </cell>
        </row>
        <row r="40">
          <cell r="Z40">
            <v>0</v>
          </cell>
        </row>
        <row r="41">
          <cell r="Z41">
            <v>0</v>
          </cell>
        </row>
        <row r="42">
          <cell r="Z42">
            <v>0</v>
          </cell>
        </row>
        <row r="43">
          <cell r="Z43">
            <v>0</v>
          </cell>
        </row>
        <row r="44">
          <cell r="Z44">
            <v>0</v>
          </cell>
        </row>
        <row r="45">
          <cell r="Z45">
            <v>0</v>
          </cell>
        </row>
        <row r="46">
          <cell r="Z46">
            <v>0</v>
          </cell>
        </row>
        <row r="90">
          <cell r="D90">
            <v>0</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PROPERTY"/>
      <sheetName val="LIABILITY"/>
      <sheetName val="CLAIM QUESTIONNAIRE"/>
      <sheetName val="hide"/>
      <sheetName val="DEDUCTIBLE BUY-DOWN"/>
    </sheetNames>
    <sheetDataSet>
      <sheetData sheetId="0" refreshError="1">
        <row r="8">
          <cell r="F8" t="str">
            <v xml:space="preserve"> </v>
          </cell>
        </row>
        <row r="10">
          <cell r="F10" t="str">
            <v xml:space="preserve"> </v>
          </cell>
        </row>
        <row r="11">
          <cell r="F11"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RATER"/>
    </sheetNames>
    <sheetDataSet>
      <sheetData sheetId="0" refreshError="1">
        <row r="21">
          <cell r="AA21">
            <v>5000</v>
          </cell>
          <cell r="AC21">
            <v>0</v>
          </cell>
        </row>
        <row r="22">
          <cell r="AA22">
            <v>5000</v>
          </cell>
          <cell r="AC22">
            <v>0</v>
          </cell>
        </row>
        <row r="23">
          <cell r="AA23">
            <v>5000</v>
          </cell>
          <cell r="AC23">
            <v>0</v>
          </cell>
        </row>
        <row r="24">
          <cell r="AA24">
            <v>5000</v>
          </cell>
          <cell r="AC24">
            <v>0</v>
          </cell>
        </row>
        <row r="25">
          <cell r="AA25">
            <v>5000</v>
          </cell>
          <cell r="AC25">
            <v>0</v>
          </cell>
        </row>
        <row r="26">
          <cell r="AA26">
            <v>5000</v>
          </cell>
          <cell r="AC26">
            <v>0</v>
          </cell>
        </row>
        <row r="27">
          <cell r="AA27">
            <v>5000</v>
          </cell>
          <cell r="AC27">
            <v>0</v>
          </cell>
        </row>
        <row r="28">
          <cell r="AA28">
            <v>5000</v>
          </cell>
          <cell r="AC28">
            <v>0</v>
          </cell>
        </row>
        <row r="29">
          <cell r="AA29">
            <v>5000</v>
          </cell>
          <cell r="AC29">
            <v>0</v>
          </cell>
        </row>
        <row r="30">
          <cell r="AA30">
            <v>5000</v>
          </cell>
          <cell r="AC30">
            <v>0</v>
          </cell>
        </row>
        <row r="31">
          <cell r="AA31">
            <v>5000</v>
          </cell>
          <cell r="AC31">
            <v>0</v>
          </cell>
        </row>
        <row r="32">
          <cell r="AA32">
            <v>5000</v>
          </cell>
          <cell r="AC32">
            <v>0</v>
          </cell>
        </row>
        <row r="33">
          <cell r="AA33">
            <v>5000</v>
          </cell>
          <cell r="AC33">
            <v>0</v>
          </cell>
        </row>
        <row r="34">
          <cell r="AA34">
            <v>5000</v>
          </cell>
          <cell r="AC34">
            <v>0</v>
          </cell>
        </row>
        <row r="35">
          <cell r="AA35">
            <v>5000</v>
          </cell>
          <cell r="AC35">
            <v>0</v>
          </cell>
        </row>
        <row r="36">
          <cell r="AA36">
            <v>5000</v>
          </cell>
          <cell r="AC36">
            <v>0</v>
          </cell>
        </row>
        <row r="37">
          <cell r="AA37">
            <v>5000</v>
          </cell>
          <cell r="AC37">
            <v>0</v>
          </cell>
        </row>
        <row r="38">
          <cell r="AA38">
            <v>5000</v>
          </cell>
          <cell r="AC38">
            <v>0</v>
          </cell>
        </row>
        <row r="39">
          <cell r="AA39">
            <v>5000</v>
          </cell>
          <cell r="AC39">
            <v>0</v>
          </cell>
        </row>
        <row r="40">
          <cell r="AA40">
            <v>5000</v>
          </cell>
          <cell r="AC40">
            <v>0</v>
          </cell>
        </row>
        <row r="41">
          <cell r="AA41">
            <v>5000</v>
          </cell>
          <cell r="AC41">
            <v>0</v>
          </cell>
        </row>
        <row r="42">
          <cell r="AA42">
            <v>5000</v>
          </cell>
          <cell r="AC42">
            <v>0</v>
          </cell>
        </row>
        <row r="43">
          <cell r="AA43">
            <v>5000</v>
          </cell>
          <cell r="AC43">
            <v>0</v>
          </cell>
        </row>
        <row r="44">
          <cell r="AA44">
            <v>5000</v>
          </cell>
          <cell r="AC44">
            <v>0</v>
          </cell>
        </row>
        <row r="45">
          <cell r="AA45">
            <v>5000</v>
          </cell>
          <cell r="AC45">
            <v>0</v>
          </cell>
        </row>
        <row r="50">
          <cell r="D50" t="str">
            <v xml:space="preserve"> </v>
          </cell>
        </row>
        <row r="52">
          <cell r="D52" t="str">
            <v xml:space="preserve"> </v>
          </cell>
        </row>
        <row r="106">
          <cell r="K106" t="str">
            <v xml:space="preserve"> </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9"/>
  <sheetViews>
    <sheetView tabSelected="1" zoomScaleNormal="100" workbookViewId="0">
      <selection activeCell="F8" sqref="F8:P8"/>
    </sheetView>
  </sheetViews>
  <sheetFormatPr defaultColWidth="9.140625" defaultRowHeight="12.75"/>
  <cols>
    <col min="1" max="1" width="1.5703125" style="245" customWidth="1"/>
    <col min="2" max="2" width="3.5703125" style="245" customWidth="1"/>
    <col min="3" max="3" width="7.5703125" style="245" customWidth="1"/>
    <col min="4" max="4" width="1.140625" style="245" customWidth="1"/>
    <col min="5" max="6" width="6.140625" style="245" customWidth="1"/>
    <col min="7" max="7" width="5.7109375" style="245" customWidth="1"/>
    <col min="8" max="8" width="5" style="245" customWidth="1"/>
    <col min="9" max="9" width="6.42578125" style="245" customWidth="1"/>
    <col min="10" max="10" width="5.5703125" style="245" customWidth="1"/>
    <col min="11" max="11" width="1.140625" style="245" customWidth="1"/>
    <col min="12" max="12" width="5.5703125" style="245" customWidth="1"/>
    <col min="13" max="13" width="2.28515625" style="245" customWidth="1"/>
    <col min="14" max="14" width="6.140625" style="245" customWidth="1"/>
    <col min="15" max="15" width="5.85546875" style="245" customWidth="1"/>
    <col min="16" max="16" width="5.7109375" style="245" customWidth="1"/>
    <col min="17" max="17" width="6.28515625" style="245" customWidth="1"/>
    <col min="18" max="19" width="5.28515625" style="245" customWidth="1"/>
    <col min="20" max="21" width="5" style="245" customWidth="1"/>
    <col min="22" max="22" width="0.85546875" style="245" customWidth="1"/>
    <col min="23" max="23" width="6.28515625" style="245" customWidth="1"/>
    <col min="24" max="24" width="1" style="245" customWidth="1"/>
    <col min="25" max="25" width="8.28515625" style="245" customWidth="1"/>
    <col min="26" max="26" width="8.42578125" style="245" customWidth="1"/>
    <col min="27" max="27" width="1.42578125" style="245" customWidth="1"/>
    <col min="28" max="32" width="9.140625" style="461"/>
    <col min="33" max="60" width="9.140625" style="319"/>
    <col min="61" max="16384" width="9.140625" style="245"/>
  </cols>
  <sheetData>
    <row r="1" spans="1:26" ht="115.5" customHeight="1">
      <c r="A1" s="409"/>
      <c r="B1" s="409"/>
      <c r="C1" s="409"/>
      <c r="D1" s="409"/>
      <c r="E1" s="409"/>
    </row>
    <row r="2" spans="1:26" ht="20.25">
      <c r="A2" s="409"/>
      <c r="B2" s="409"/>
      <c r="C2" s="409"/>
      <c r="D2" s="409"/>
      <c r="E2" s="409"/>
      <c r="H2" s="252"/>
      <c r="U2" s="834"/>
      <c r="V2" s="834"/>
      <c r="W2" s="834"/>
      <c r="X2" s="834"/>
      <c r="Y2" s="834"/>
    </row>
    <row r="3" spans="1:26" ht="20.25">
      <c r="A3" s="409"/>
      <c r="B3" s="409"/>
      <c r="C3" s="409"/>
      <c r="D3" s="409"/>
      <c r="E3" s="409"/>
      <c r="H3" s="252"/>
      <c r="P3" s="835"/>
      <c r="Q3" s="835"/>
      <c r="R3" s="835"/>
      <c r="S3" s="836"/>
      <c r="T3" s="837"/>
      <c r="U3" s="837"/>
      <c r="V3" s="837"/>
      <c r="W3" s="837"/>
      <c r="X3" s="836"/>
      <c r="Y3" s="408"/>
    </row>
    <row r="4" spans="1:26" ht="9" customHeight="1">
      <c r="A4" s="409"/>
      <c r="B4" s="409"/>
      <c r="C4" s="409"/>
      <c r="D4" s="409"/>
      <c r="E4" s="409"/>
      <c r="F4" s="258" t="s">
        <v>2</v>
      </c>
    </row>
    <row r="5" spans="1:26" ht="8.25" customHeight="1">
      <c r="A5" s="409"/>
      <c r="B5" s="409"/>
      <c r="C5" s="409"/>
      <c r="D5" s="409"/>
      <c r="E5" s="409"/>
      <c r="H5" s="409"/>
      <c r="U5" s="834"/>
      <c r="V5" s="834"/>
      <c r="W5" s="834"/>
      <c r="X5" s="834"/>
      <c r="Y5" s="834"/>
    </row>
    <row r="6" spans="1:26" ht="3" customHeight="1" thickBot="1">
      <c r="A6" s="409"/>
      <c r="B6" s="409"/>
      <c r="C6" s="409"/>
      <c r="D6" s="409"/>
      <c r="E6" s="409"/>
    </row>
    <row r="7" spans="1:26" ht="13.5" hidden="1" thickBot="1"/>
    <row r="8" spans="1:26" ht="61.5" customHeight="1" thickBot="1">
      <c r="E8" s="543" t="s">
        <v>427</v>
      </c>
      <c r="F8" s="838" t="s">
        <v>2</v>
      </c>
      <c r="G8" s="839"/>
      <c r="H8" s="839"/>
      <c r="I8" s="839"/>
      <c r="J8" s="839"/>
      <c r="K8" s="839"/>
      <c r="L8" s="839"/>
      <c r="M8" s="839"/>
      <c r="N8" s="839"/>
      <c r="O8" s="839"/>
      <c r="P8" s="840"/>
      <c r="S8" s="856" t="s">
        <v>434</v>
      </c>
      <c r="T8" s="857"/>
      <c r="U8" s="841" t="s">
        <v>2</v>
      </c>
      <c r="V8" s="842"/>
      <c r="W8" s="842"/>
      <c r="X8" s="842"/>
      <c r="Y8" s="843"/>
    </row>
    <row r="9" spans="1:26" ht="6.75" customHeight="1" thickBot="1">
      <c r="E9" s="263"/>
      <c r="S9" s="263"/>
      <c r="W9" s="245" t="s">
        <v>2</v>
      </c>
    </row>
    <row r="10" spans="1:26" ht="15.75" customHeight="1" thickBot="1">
      <c r="E10" s="263" t="s">
        <v>428</v>
      </c>
      <c r="F10" s="811" t="s">
        <v>2</v>
      </c>
      <c r="G10" s="812"/>
      <c r="H10" s="812"/>
      <c r="I10" s="812"/>
      <c r="J10" s="812"/>
      <c r="K10" s="812"/>
      <c r="L10" s="812"/>
      <c r="M10" s="812"/>
      <c r="N10" s="812"/>
      <c r="O10" s="812"/>
      <c r="P10" s="813"/>
      <c r="Q10" s="858" t="s">
        <v>435</v>
      </c>
      <c r="R10" s="834"/>
      <c r="S10" s="834"/>
      <c r="T10" s="859"/>
      <c r="U10" s="853">
        <v>0</v>
      </c>
      <c r="V10" s="854"/>
      <c r="W10" s="854"/>
      <c r="X10" s="854"/>
      <c r="Y10" s="855"/>
    </row>
    <row r="11" spans="1:26" ht="17.25" customHeight="1" thickBot="1">
      <c r="E11" s="263" t="s">
        <v>429</v>
      </c>
      <c r="F11" s="838" t="s">
        <v>2</v>
      </c>
      <c r="G11" s="839"/>
      <c r="H11" s="839"/>
      <c r="I11" s="839"/>
      <c r="J11" s="839"/>
      <c r="K11" s="839"/>
      <c r="L11" s="839"/>
      <c r="M11" s="839"/>
      <c r="N11" s="839"/>
      <c r="O11" s="839"/>
      <c r="P11" s="840"/>
      <c r="R11" s="856" t="s">
        <v>436</v>
      </c>
      <c r="S11" s="856"/>
      <c r="T11" s="857"/>
      <c r="U11" s="841" t="s">
        <v>2</v>
      </c>
      <c r="V11" s="842"/>
      <c r="W11" s="842"/>
      <c r="X11" s="842"/>
      <c r="Y11" s="843"/>
    </row>
    <row r="12" spans="1:26" ht="6.75" customHeight="1" thickBot="1">
      <c r="E12" s="263"/>
      <c r="S12" s="263"/>
    </row>
    <row r="13" spans="1:26" ht="15.75" customHeight="1" thickBot="1">
      <c r="C13" s="319"/>
      <c r="D13" s="319"/>
      <c r="E13" s="302" t="s">
        <v>430</v>
      </c>
      <c r="F13" s="844" t="s">
        <v>18</v>
      </c>
      <c r="G13" s="845"/>
      <c r="H13" s="846"/>
      <c r="I13" s="604" t="s">
        <v>543</v>
      </c>
      <c r="M13" s="544" t="s">
        <v>432</v>
      </c>
      <c r="N13" s="847" t="s">
        <v>644</v>
      </c>
      <c r="O13" s="848"/>
      <c r="P13" s="849"/>
      <c r="R13" s="856" t="s">
        <v>437</v>
      </c>
      <c r="S13" s="856"/>
      <c r="T13" s="857"/>
      <c r="U13" s="850">
        <v>0</v>
      </c>
      <c r="V13" s="851"/>
      <c r="W13" s="851"/>
      <c r="X13" s="851"/>
      <c r="Y13" s="852"/>
    </row>
    <row r="14" spans="1:26" ht="9.75" customHeight="1" thickBot="1">
      <c r="E14" s="263"/>
      <c r="M14" s="545" t="s">
        <v>505</v>
      </c>
      <c r="S14" s="263"/>
    </row>
    <row r="15" spans="1:26" ht="15.75" customHeight="1" thickBot="1">
      <c r="E15" s="263" t="s">
        <v>431</v>
      </c>
      <c r="F15" s="826" t="s">
        <v>2</v>
      </c>
      <c r="G15" s="827"/>
      <c r="H15" s="828"/>
      <c r="M15" s="545" t="s">
        <v>433</v>
      </c>
      <c r="N15" s="829"/>
      <c r="O15" s="830"/>
      <c r="P15" s="831"/>
      <c r="R15" s="541" t="s">
        <v>440</v>
      </c>
      <c r="S15" s="541"/>
      <c r="T15" s="541"/>
      <c r="U15" s="541"/>
      <c r="V15" s="541"/>
      <c r="W15" s="611" t="s">
        <v>542</v>
      </c>
      <c r="X15" s="541"/>
      <c r="Y15" s="614" t="s">
        <v>2</v>
      </c>
      <c r="Z15" s="611" t="s">
        <v>542</v>
      </c>
    </row>
    <row r="16" spans="1:26" ht="4.5" customHeight="1">
      <c r="P16" s="411" t="s">
        <v>55</v>
      </c>
    </row>
    <row r="17" spans="2:60" ht="3" customHeight="1">
      <c r="N17" s="412" t="e">
        <f>#REF!</f>
        <v>#REF!</v>
      </c>
      <c r="O17" s="271" t="s">
        <v>2</v>
      </c>
      <c r="P17" s="272" t="s">
        <v>2</v>
      </c>
      <c r="Q17" s="273"/>
      <c r="Z17" s="273"/>
    </row>
    <row r="18" spans="2:60" ht="3.75" customHeight="1"/>
    <row r="19" spans="2:60" s="282" customFormat="1" ht="144" customHeight="1">
      <c r="B19" s="400" t="s">
        <v>11</v>
      </c>
      <c r="C19" s="580" t="s">
        <v>420</v>
      </c>
      <c r="D19" s="832" t="s">
        <v>421</v>
      </c>
      <c r="E19" s="832"/>
      <c r="F19" s="832"/>
      <c r="G19" s="832" t="s">
        <v>422</v>
      </c>
      <c r="H19" s="832"/>
      <c r="I19" s="832"/>
      <c r="J19" s="832" t="s">
        <v>485</v>
      </c>
      <c r="K19" s="832"/>
      <c r="L19" s="832"/>
      <c r="M19" s="832" t="s">
        <v>484</v>
      </c>
      <c r="N19" s="832"/>
      <c r="O19" s="832"/>
      <c r="P19" s="832" t="s">
        <v>423</v>
      </c>
      <c r="Q19" s="833"/>
      <c r="R19" s="599" t="s">
        <v>482</v>
      </c>
      <c r="S19" s="579" t="s">
        <v>424</v>
      </c>
      <c r="T19" s="610" t="s">
        <v>425</v>
      </c>
      <c r="U19" s="610" t="s">
        <v>635</v>
      </c>
      <c r="V19" s="581"/>
      <c r="W19" s="602" t="s">
        <v>426</v>
      </c>
      <c r="X19" s="582"/>
      <c r="Y19" s="583" t="s">
        <v>549</v>
      </c>
      <c r="Z19" s="603" t="s">
        <v>483</v>
      </c>
      <c r="AB19" s="487"/>
      <c r="AC19" s="487"/>
      <c r="AD19" s="487"/>
      <c r="AE19" s="487"/>
      <c r="AF19" s="487"/>
      <c r="AG19" s="413"/>
      <c r="AH19" s="413"/>
      <c r="AI19" s="413"/>
      <c r="AJ19" s="413"/>
      <c r="AK19" s="413"/>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3"/>
      <c r="BH19" s="413"/>
    </row>
    <row r="20" spans="2:60" ht="6" customHeight="1">
      <c r="C20" s="245" t="s">
        <v>2</v>
      </c>
      <c r="M20" s="245" t="s">
        <v>2</v>
      </c>
      <c r="N20" s="245" t="s">
        <v>2</v>
      </c>
      <c r="R20" s="414"/>
      <c r="W20" s="415"/>
      <c r="X20" s="285"/>
      <c r="Y20" s="415"/>
      <c r="Z20" s="415"/>
    </row>
    <row r="21" spans="2:60" ht="18" customHeight="1">
      <c r="B21" s="416">
        <v>1</v>
      </c>
      <c r="C21" s="647"/>
      <c r="D21" s="802" t="s">
        <v>2</v>
      </c>
      <c r="E21" s="802"/>
      <c r="F21" s="802"/>
      <c r="G21" s="822" t="s">
        <v>2</v>
      </c>
      <c r="H21" s="822"/>
      <c r="I21" s="822"/>
      <c r="J21" s="802" t="s">
        <v>2</v>
      </c>
      <c r="K21" s="802"/>
      <c r="L21" s="802"/>
      <c r="M21" s="802" t="s">
        <v>2</v>
      </c>
      <c r="N21" s="802"/>
      <c r="O21" s="802"/>
      <c r="P21" s="815">
        <v>1.0000000000000001E-9</v>
      </c>
      <c r="Q21" s="815"/>
      <c r="R21" s="598" t="s">
        <v>439</v>
      </c>
      <c r="S21" s="591" t="s">
        <v>439</v>
      </c>
      <c r="T21" s="606" t="s">
        <v>18</v>
      </c>
      <c r="U21" s="606" t="s">
        <v>18</v>
      </c>
      <c r="V21" s="510"/>
      <c r="W21" s="446" t="s">
        <v>18</v>
      </c>
      <c r="X21" s="285"/>
      <c r="Y21" s="688">
        <v>0</v>
      </c>
      <c r="Z21" s="648">
        <v>2499</v>
      </c>
      <c r="AA21" s="417">
        <f>IF(W21="O",-0.1,0)</f>
        <v>0</v>
      </c>
      <c r="AB21" s="461">
        <f>IF(Y21&gt;0,Y21,0)</f>
        <v>0</v>
      </c>
      <c r="AC21" s="461">
        <f>(IF(Z21&gt;2499,0,0))</f>
        <v>0</v>
      </c>
    </row>
    <row r="22" spans="2:60" ht="18" customHeight="1">
      <c r="B22" s="416">
        <v>2</v>
      </c>
      <c r="C22" s="647"/>
      <c r="D22" s="802" t="s">
        <v>2</v>
      </c>
      <c r="E22" s="802"/>
      <c r="F22" s="802"/>
      <c r="G22" s="822" t="s">
        <v>2</v>
      </c>
      <c r="H22" s="822"/>
      <c r="I22" s="822"/>
      <c r="J22" s="802" t="s">
        <v>2</v>
      </c>
      <c r="K22" s="802"/>
      <c r="L22" s="802"/>
      <c r="M22" s="802" t="s">
        <v>2</v>
      </c>
      <c r="N22" s="802"/>
      <c r="O22" s="802"/>
      <c r="P22" s="815">
        <v>1.0000000000000001E-9</v>
      </c>
      <c r="Q22" s="815"/>
      <c r="R22" s="598" t="s">
        <v>439</v>
      </c>
      <c r="S22" s="591" t="s">
        <v>439</v>
      </c>
      <c r="T22" s="606" t="s">
        <v>18</v>
      </c>
      <c r="U22" s="606" t="s">
        <v>18</v>
      </c>
      <c r="V22" s="510"/>
      <c r="W22" s="446" t="s">
        <v>18</v>
      </c>
      <c r="X22" s="285"/>
      <c r="Y22" s="546">
        <f t="shared" ref="Y22:Y45" si="0">Y21</f>
        <v>0</v>
      </c>
      <c r="Z22" s="648">
        <v>2499</v>
      </c>
      <c r="AA22" s="417">
        <f t="shared" ref="AA22:AA45" si="1">IF(W22="O",-0.1,0)</f>
        <v>0</v>
      </c>
      <c r="AB22" s="461">
        <f t="shared" ref="AB22:AB45" si="2">IF(Y22&gt;0,Y22,0)</f>
        <v>0</v>
      </c>
      <c r="AC22" s="461">
        <f t="shared" ref="AC22:AC45" si="3">(IF(Z22&gt;2499,0,0))</f>
        <v>0</v>
      </c>
    </row>
    <row r="23" spans="2:60" ht="18" customHeight="1">
      <c r="B23" s="416">
        <v>3</v>
      </c>
      <c r="C23" s="647"/>
      <c r="D23" s="802" t="s">
        <v>2</v>
      </c>
      <c r="E23" s="802"/>
      <c r="F23" s="802"/>
      <c r="G23" s="822" t="s">
        <v>2</v>
      </c>
      <c r="H23" s="822"/>
      <c r="I23" s="822"/>
      <c r="J23" s="802" t="s">
        <v>2</v>
      </c>
      <c r="K23" s="802"/>
      <c r="L23" s="802"/>
      <c r="M23" s="802" t="s">
        <v>2</v>
      </c>
      <c r="N23" s="802"/>
      <c r="O23" s="802"/>
      <c r="P23" s="815">
        <v>1.0000000000000001E-9</v>
      </c>
      <c r="Q23" s="815"/>
      <c r="R23" s="598" t="s">
        <v>439</v>
      </c>
      <c r="S23" s="591" t="s">
        <v>439</v>
      </c>
      <c r="T23" s="606" t="s">
        <v>18</v>
      </c>
      <c r="U23" s="606" t="s">
        <v>18</v>
      </c>
      <c r="V23" s="510"/>
      <c r="W23" s="446" t="s">
        <v>18</v>
      </c>
      <c r="X23" s="285"/>
      <c r="Y23" s="546">
        <f t="shared" si="0"/>
        <v>0</v>
      </c>
      <c r="Z23" s="648">
        <v>2499</v>
      </c>
      <c r="AA23" s="417">
        <f t="shared" si="1"/>
        <v>0</v>
      </c>
      <c r="AB23" s="461">
        <f t="shared" si="2"/>
        <v>0</v>
      </c>
      <c r="AC23" s="461">
        <f t="shared" si="3"/>
        <v>0</v>
      </c>
    </row>
    <row r="24" spans="2:60" ht="18" customHeight="1">
      <c r="B24" s="416">
        <v>4</v>
      </c>
      <c r="C24" s="647"/>
      <c r="D24" s="802" t="s">
        <v>2</v>
      </c>
      <c r="E24" s="802"/>
      <c r="F24" s="802"/>
      <c r="G24" s="822" t="s">
        <v>2</v>
      </c>
      <c r="H24" s="822"/>
      <c r="I24" s="822"/>
      <c r="J24" s="802" t="s">
        <v>2</v>
      </c>
      <c r="K24" s="802"/>
      <c r="L24" s="802"/>
      <c r="M24" s="802" t="s">
        <v>2</v>
      </c>
      <c r="N24" s="802"/>
      <c r="O24" s="802"/>
      <c r="P24" s="815">
        <v>1.0000000000000001E-9</v>
      </c>
      <c r="Q24" s="815"/>
      <c r="R24" s="598" t="s">
        <v>439</v>
      </c>
      <c r="S24" s="591" t="s">
        <v>439</v>
      </c>
      <c r="T24" s="606" t="s">
        <v>18</v>
      </c>
      <c r="U24" s="606" t="s">
        <v>18</v>
      </c>
      <c r="V24" s="510"/>
      <c r="W24" s="446" t="s">
        <v>18</v>
      </c>
      <c r="X24" s="285"/>
      <c r="Y24" s="546">
        <f t="shared" si="0"/>
        <v>0</v>
      </c>
      <c r="Z24" s="648">
        <v>2499</v>
      </c>
      <c r="AA24" s="417">
        <f t="shared" si="1"/>
        <v>0</v>
      </c>
      <c r="AB24" s="461">
        <f t="shared" si="2"/>
        <v>0</v>
      </c>
      <c r="AC24" s="461">
        <f t="shared" si="3"/>
        <v>0</v>
      </c>
    </row>
    <row r="25" spans="2:60" ht="18" customHeight="1">
      <c r="B25" s="416">
        <v>5</v>
      </c>
      <c r="C25" s="647"/>
      <c r="D25" s="802" t="s">
        <v>2</v>
      </c>
      <c r="E25" s="802"/>
      <c r="F25" s="802"/>
      <c r="G25" s="822" t="s">
        <v>2</v>
      </c>
      <c r="H25" s="822"/>
      <c r="I25" s="822"/>
      <c r="J25" s="802" t="s">
        <v>2</v>
      </c>
      <c r="K25" s="802"/>
      <c r="L25" s="802"/>
      <c r="M25" s="802" t="s">
        <v>2</v>
      </c>
      <c r="N25" s="802"/>
      <c r="O25" s="802"/>
      <c r="P25" s="815">
        <v>1.0000000000000001E-9</v>
      </c>
      <c r="Q25" s="815"/>
      <c r="R25" s="598" t="s">
        <v>439</v>
      </c>
      <c r="S25" s="504" t="s">
        <v>439</v>
      </c>
      <c r="T25" s="606" t="s">
        <v>18</v>
      </c>
      <c r="U25" s="606" t="s">
        <v>18</v>
      </c>
      <c r="V25" s="510"/>
      <c r="W25" s="446" t="s">
        <v>18</v>
      </c>
      <c r="X25" s="285"/>
      <c r="Y25" s="546">
        <f t="shared" si="0"/>
        <v>0</v>
      </c>
      <c r="Z25" s="648">
        <v>2499</v>
      </c>
      <c r="AA25" s="417">
        <f t="shared" si="1"/>
        <v>0</v>
      </c>
      <c r="AB25" s="461">
        <f t="shared" si="2"/>
        <v>0</v>
      </c>
      <c r="AC25" s="461">
        <f t="shared" si="3"/>
        <v>0</v>
      </c>
    </row>
    <row r="26" spans="2:60" ht="18" customHeight="1">
      <c r="B26" s="416">
        <v>6</v>
      </c>
      <c r="C26" s="647"/>
      <c r="D26" s="802" t="s">
        <v>2</v>
      </c>
      <c r="E26" s="802"/>
      <c r="F26" s="802"/>
      <c r="G26" s="822" t="s">
        <v>2</v>
      </c>
      <c r="H26" s="822"/>
      <c r="I26" s="822"/>
      <c r="J26" s="802" t="s">
        <v>2</v>
      </c>
      <c r="K26" s="802"/>
      <c r="L26" s="802"/>
      <c r="M26" s="802" t="s">
        <v>2</v>
      </c>
      <c r="N26" s="802"/>
      <c r="O26" s="802"/>
      <c r="P26" s="815">
        <v>1.0000000000000001E-9</v>
      </c>
      <c r="Q26" s="815"/>
      <c r="R26" s="598" t="s">
        <v>439</v>
      </c>
      <c r="S26" s="504" t="s">
        <v>439</v>
      </c>
      <c r="T26" s="606" t="s">
        <v>18</v>
      </c>
      <c r="U26" s="606" t="s">
        <v>18</v>
      </c>
      <c r="V26" s="510"/>
      <c r="W26" s="446" t="s">
        <v>18</v>
      </c>
      <c r="X26" s="285"/>
      <c r="Y26" s="546">
        <f t="shared" si="0"/>
        <v>0</v>
      </c>
      <c r="Z26" s="648">
        <v>2499</v>
      </c>
      <c r="AA26" s="417">
        <f t="shared" si="1"/>
        <v>0</v>
      </c>
      <c r="AB26" s="461">
        <f t="shared" si="2"/>
        <v>0</v>
      </c>
      <c r="AC26" s="461">
        <f t="shared" si="3"/>
        <v>0</v>
      </c>
    </row>
    <row r="27" spans="2:60" ht="18" customHeight="1">
      <c r="B27" s="416">
        <v>7</v>
      </c>
      <c r="C27" s="647"/>
      <c r="D27" s="802" t="s">
        <v>2</v>
      </c>
      <c r="E27" s="802"/>
      <c r="F27" s="802"/>
      <c r="G27" s="822" t="s">
        <v>2</v>
      </c>
      <c r="H27" s="822"/>
      <c r="I27" s="822"/>
      <c r="J27" s="802" t="s">
        <v>2</v>
      </c>
      <c r="K27" s="802"/>
      <c r="L27" s="802"/>
      <c r="M27" s="802" t="s">
        <v>2</v>
      </c>
      <c r="N27" s="802"/>
      <c r="O27" s="802"/>
      <c r="P27" s="815">
        <v>1.0000000000000001E-9</v>
      </c>
      <c r="Q27" s="815"/>
      <c r="R27" s="598" t="s">
        <v>439</v>
      </c>
      <c r="S27" s="504" t="s">
        <v>439</v>
      </c>
      <c r="T27" s="606" t="s">
        <v>18</v>
      </c>
      <c r="U27" s="606" t="s">
        <v>18</v>
      </c>
      <c r="V27" s="510"/>
      <c r="W27" s="446" t="s">
        <v>18</v>
      </c>
      <c r="X27" s="285"/>
      <c r="Y27" s="546">
        <f t="shared" si="0"/>
        <v>0</v>
      </c>
      <c r="Z27" s="648">
        <v>2499</v>
      </c>
      <c r="AA27" s="417">
        <f t="shared" si="1"/>
        <v>0</v>
      </c>
      <c r="AB27" s="461">
        <f t="shared" si="2"/>
        <v>0</v>
      </c>
      <c r="AC27" s="461">
        <f t="shared" si="3"/>
        <v>0</v>
      </c>
    </row>
    <row r="28" spans="2:60" ht="18" customHeight="1">
      <c r="B28" s="416">
        <v>8</v>
      </c>
      <c r="C28" s="647"/>
      <c r="D28" s="802" t="s">
        <v>2</v>
      </c>
      <c r="E28" s="802"/>
      <c r="F28" s="802"/>
      <c r="G28" s="822" t="s">
        <v>2</v>
      </c>
      <c r="H28" s="822"/>
      <c r="I28" s="822"/>
      <c r="J28" s="802" t="s">
        <v>2</v>
      </c>
      <c r="K28" s="802"/>
      <c r="L28" s="802"/>
      <c r="M28" s="802" t="s">
        <v>2</v>
      </c>
      <c r="N28" s="802"/>
      <c r="O28" s="802"/>
      <c r="P28" s="815">
        <v>1.0000000000000001E-9</v>
      </c>
      <c r="Q28" s="815"/>
      <c r="R28" s="598" t="s">
        <v>439</v>
      </c>
      <c r="S28" s="504" t="s">
        <v>439</v>
      </c>
      <c r="T28" s="606" t="s">
        <v>18</v>
      </c>
      <c r="U28" s="606" t="s">
        <v>18</v>
      </c>
      <c r="V28" s="510"/>
      <c r="W28" s="446" t="s">
        <v>18</v>
      </c>
      <c r="X28" s="285"/>
      <c r="Y28" s="546">
        <f t="shared" si="0"/>
        <v>0</v>
      </c>
      <c r="Z28" s="648">
        <v>2499</v>
      </c>
      <c r="AA28" s="417">
        <f t="shared" si="1"/>
        <v>0</v>
      </c>
      <c r="AB28" s="461">
        <f t="shared" si="2"/>
        <v>0</v>
      </c>
      <c r="AC28" s="461">
        <f t="shared" si="3"/>
        <v>0</v>
      </c>
    </row>
    <row r="29" spans="2:60" ht="18" customHeight="1">
      <c r="B29" s="416">
        <v>9</v>
      </c>
      <c r="C29" s="446"/>
      <c r="D29" s="802" t="s">
        <v>2</v>
      </c>
      <c r="E29" s="802"/>
      <c r="F29" s="802"/>
      <c r="G29" s="822" t="s">
        <v>2</v>
      </c>
      <c r="H29" s="822"/>
      <c r="I29" s="822"/>
      <c r="J29" s="802" t="s">
        <v>2</v>
      </c>
      <c r="K29" s="802"/>
      <c r="L29" s="802"/>
      <c r="M29" s="802" t="s">
        <v>2</v>
      </c>
      <c r="N29" s="802"/>
      <c r="O29" s="802"/>
      <c r="P29" s="815">
        <v>1.0000000000000001E-9</v>
      </c>
      <c r="Q29" s="815"/>
      <c r="R29" s="598" t="s">
        <v>439</v>
      </c>
      <c r="S29" s="504" t="s">
        <v>439</v>
      </c>
      <c r="T29" s="606" t="s">
        <v>18</v>
      </c>
      <c r="U29" s="606" t="s">
        <v>18</v>
      </c>
      <c r="V29" s="510"/>
      <c r="W29" s="446" t="s">
        <v>18</v>
      </c>
      <c r="X29" s="285"/>
      <c r="Y29" s="546">
        <f t="shared" si="0"/>
        <v>0</v>
      </c>
      <c r="Z29" s="447">
        <v>2499</v>
      </c>
      <c r="AA29" s="417">
        <f t="shared" si="1"/>
        <v>0</v>
      </c>
      <c r="AB29" s="461">
        <f t="shared" si="2"/>
        <v>0</v>
      </c>
      <c r="AC29" s="461">
        <f t="shared" si="3"/>
        <v>0</v>
      </c>
    </row>
    <row r="30" spans="2:60" ht="18" customHeight="1">
      <c r="B30" s="416">
        <v>10</v>
      </c>
      <c r="C30" s="446"/>
      <c r="D30" s="802" t="s">
        <v>2</v>
      </c>
      <c r="E30" s="802"/>
      <c r="F30" s="802"/>
      <c r="G30" s="822" t="s">
        <v>2</v>
      </c>
      <c r="H30" s="822"/>
      <c r="I30" s="822"/>
      <c r="J30" s="802" t="s">
        <v>2</v>
      </c>
      <c r="K30" s="802"/>
      <c r="L30" s="802"/>
      <c r="M30" s="802" t="s">
        <v>2</v>
      </c>
      <c r="N30" s="802"/>
      <c r="O30" s="802"/>
      <c r="P30" s="815">
        <v>1.0000000000000001E-9</v>
      </c>
      <c r="Q30" s="815"/>
      <c r="R30" s="598" t="s">
        <v>439</v>
      </c>
      <c r="S30" s="504" t="s">
        <v>439</v>
      </c>
      <c r="T30" s="606" t="s">
        <v>18</v>
      </c>
      <c r="U30" s="606" t="s">
        <v>18</v>
      </c>
      <c r="V30" s="510"/>
      <c r="W30" s="446" t="s">
        <v>18</v>
      </c>
      <c r="X30" s="285"/>
      <c r="Y30" s="546">
        <f t="shared" si="0"/>
        <v>0</v>
      </c>
      <c r="Z30" s="447">
        <v>2499</v>
      </c>
      <c r="AA30" s="417">
        <f t="shared" si="1"/>
        <v>0</v>
      </c>
      <c r="AB30" s="461">
        <f t="shared" si="2"/>
        <v>0</v>
      </c>
      <c r="AC30" s="461">
        <f t="shared" si="3"/>
        <v>0</v>
      </c>
    </row>
    <row r="31" spans="2:60" ht="18" customHeight="1">
      <c r="B31" s="416">
        <v>11</v>
      </c>
      <c r="C31" s="446"/>
      <c r="D31" s="802" t="s">
        <v>2</v>
      </c>
      <c r="E31" s="802"/>
      <c r="F31" s="802"/>
      <c r="G31" s="822" t="s">
        <v>2</v>
      </c>
      <c r="H31" s="822"/>
      <c r="I31" s="822"/>
      <c r="J31" s="802" t="s">
        <v>2</v>
      </c>
      <c r="K31" s="802"/>
      <c r="L31" s="802"/>
      <c r="M31" s="802" t="s">
        <v>2</v>
      </c>
      <c r="N31" s="802"/>
      <c r="O31" s="802"/>
      <c r="P31" s="815">
        <v>1.0000000000000001E-9</v>
      </c>
      <c r="Q31" s="815"/>
      <c r="R31" s="598" t="s">
        <v>439</v>
      </c>
      <c r="S31" s="504" t="s">
        <v>439</v>
      </c>
      <c r="T31" s="606" t="s">
        <v>18</v>
      </c>
      <c r="U31" s="606" t="s">
        <v>18</v>
      </c>
      <c r="V31" s="510"/>
      <c r="W31" s="446" t="s">
        <v>18</v>
      </c>
      <c r="X31" s="285"/>
      <c r="Y31" s="546">
        <f t="shared" si="0"/>
        <v>0</v>
      </c>
      <c r="Z31" s="447">
        <v>2499</v>
      </c>
      <c r="AA31" s="417">
        <f t="shared" si="1"/>
        <v>0</v>
      </c>
      <c r="AB31" s="461">
        <f t="shared" si="2"/>
        <v>0</v>
      </c>
      <c r="AC31" s="461">
        <f t="shared" si="3"/>
        <v>0</v>
      </c>
    </row>
    <row r="32" spans="2:60" ht="18" customHeight="1">
      <c r="B32" s="416">
        <v>12</v>
      </c>
      <c r="C32" s="446"/>
      <c r="D32" s="802" t="s">
        <v>2</v>
      </c>
      <c r="E32" s="802"/>
      <c r="F32" s="802"/>
      <c r="G32" s="822" t="s">
        <v>2</v>
      </c>
      <c r="H32" s="822"/>
      <c r="I32" s="822"/>
      <c r="J32" s="802" t="s">
        <v>2</v>
      </c>
      <c r="K32" s="802"/>
      <c r="L32" s="802"/>
      <c r="M32" s="802" t="s">
        <v>2</v>
      </c>
      <c r="N32" s="802"/>
      <c r="O32" s="802"/>
      <c r="P32" s="815">
        <v>1.0000000000000001E-9</v>
      </c>
      <c r="Q32" s="815"/>
      <c r="R32" s="598" t="s">
        <v>439</v>
      </c>
      <c r="S32" s="504" t="s">
        <v>439</v>
      </c>
      <c r="T32" s="606" t="s">
        <v>18</v>
      </c>
      <c r="U32" s="606" t="s">
        <v>18</v>
      </c>
      <c r="V32" s="510"/>
      <c r="W32" s="446" t="s">
        <v>18</v>
      </c>
      <c r="X32" s="285"/>
      <c r="Y32" s="546">
        <f t="shared" si="0"/>
        <v>0</v>
      </c>
      <c r="Z32" s="447">
        <v>2499</v>
      </c>
      <c r="AA32" s="417">
        <f t="shared" si="1"/>
        <v>0</v>
      </c>
      <c r="AB32" s="461">
        <f t="shared" si="2"/>
        <v>0</v>
      </c>
      <c r="AC32" s="461">
        <f t="shared" si="3"/>
        <v>0</v>
      </c>
    </row>
    <row r="33" spans="2:60" ht="18" customHeight="1">
      <c r="B33" s="416">
        <v>13</v>
      </c>
      <c r="C33" s="446"/>
      <c r="D33" s="802" t="s">
        <v>2</v>
      </c>
      <c r="E33" s="802"/>
      <c r="F33" s="802"/>
      <c r="G33" s="822" t="s">
        <v>2</v>
      </c>
      <c r="H33" s="822"/>
      <c r="I33" s="822"/>
      <c r="J33" s="802" t="s">
        <v>2</v>
      </c>
      <c r="K33" s="802"/>
      <c r="L33" s="802"/>
      <c r="M33" s="802" t="s">
        <v>2</v>
      </c>
      <c r="N33" s="802"/>
      <c r="O33" s="802"/>
      <c r="P33" s="815">
        <v>1.0000000000000001E-9</v>
      </c>
      <c r="Q33" s="815"/>
      <c r="R33" s="598" t="s">
        <v>439</v>
      </c>
      <c r="S33" s="504" t="s">
        <v>439</v>
      </c>
      <c r="T33" s="606" t="s">
        <v>18</v>
      </c>
      <c r="U33" s="606" t="s">
        <v>18</v>
      </c>
      <c r="V33" s="510"/>
      <c r="W33" s="446" t="s">
        <v>18</v>
      </c>
      <c r="X33" s="285"/>
      <c r="Y33" s="546">
        <f t="shared" si="0"/>
        <v>0</v>
      </c>
      <c r="Z33" s="447">
        <v>2499</v>
      </c>
      <c r="AA33" s="417">
        <f t="shared" si="1"/>
        <v>0</v>
      </c>
      <c r="AB33" s="461">
        <f t="shared" si="2"/>
        <v>0</v>
      </c>
      <c r="AC33" s="461">
        <f t="shared" si="3"/>
        <v>0</v>
      </c>
    </row>
    <row r="34" spans="2:60" ht="18" customHeight="1">
      <c r="B34" s="416">
        <v>14</v>
      </c>
      <c r="C34" s="446"/>
      <c r="D34" s="802" t="s">
        <v>2</v>
      </c>
      <c r="E34" s="802"/>
      <c r="F34" s="802"/>
      <c r="G34" s="822" t="s">
        <v>2</v>
      </c>
      <c r="H34" s="822"/>
      <c r="I34" s="822"/>
      <c r="J34" s="802" t="s">
        <v>2</v>
      </c>
      <c r="K34" s="802"/>
      <c r="L34" s="802"/>
      <c r="M34" s="802" t="s">
        <v>2</v>
      </c>
      <c r="N34" s="802"/>
      <c r="O34" s="802"/>
      <c r="P34" s="815">
        <v>1.0000000000000001E-9</v>
      </c>
      <c r="Q34" s="815"/>
      <c r="R34" s="598" t="s">
        <v>439</v>
      </c>
      <c r="S34" s="504" t="s">
        <v>439</v>
      </c>
      <c r="T34" s="606" t="s">
        <v>18</v>
      </c>
      <c r="U34" s="606" t="s">
        <v>18</v>
      </c>
      <c r="V34" s="510"/>
      <c r="W34" s="446" t="s">
        <v>18</v>
      </c>
      <c r="X34" s="285"/>
      <c r="Y34" s="546">
        <f t="shared" si="0"/>
        <v>0</v>
      </c>
      <c r="Z34" s="447">
        <v>2499</v>
      </c>
      <c r="AA34" s="417">
        <f t="shared" si="1"/>
        <v>0</v>
      </c>
      <c r="AB34" s="461">
        <f t="shared" si="2"/>
        <v>0</v>
      </c>
      <c r="AC34" s="461">
        <f t="shared" si="3"/>
        <v>0</v>
      </c>
    </row>
    <row r="35" spans="2:60" ht="18" customHeight="1">
      <c r="B35" s="416">
        <v>15</v>
      </c>
      <c r="C35" s="446"/>
      <c r="D35" s="802" t="s">
        <v>2</v>
      </c>
      <c r="E35" s="802"/>
      <c r="F35" s="802"/>
      <c r="G35" s="822" t="s">
        <v>2</v>
      </c>
      <c r="H35" s="822"/>
      <c r="I35" s="822"/>
      <c r="J35" s="802" t="s">
        <v>2</v>
      </c>
      <c r="K35" s="802"/>
      <c r="L35" s="802"/>
      <c r="M35" s="802" t="s">
        <v>2</v>
      </c>
      <c r="N35" s="802"/>
      <c r="O35" s="802"/>
      <c r="P35" s="815">
        <v>1.0000000000000001E-9</v>
      </c>
      <c r="Q35" s="815"/>
      <c r="R35" s="598" t="s">
        <v>439</v>
      </c>
      <c r="S35" s="504" t="s">
        <v>439</v>
      </c>
      <c r="T35" s="606" t="s">
        <v>18</v>
      </c>
      <c r="U35" s="606" t="s">
        <v>18</v>
      </c>
      <c r="V35" s="510"/>
      <c r="W35" s="446" t="s">
        <v>18</v>
      </c>
      <c r="X35" s="285"/>
      <c r="Y35" s="546">
        <f t="shared" si="0"/>
        <v>0</v>
      </c>
      <c r="Z35" s="447">
        <v>2499</v>
      </c>
      <c r="AA35" s="417">
        <f t="shared" si="1"/>
        <v>0</v>
      </c>
      <c r="AB35" s="461">
        <f t="shared" si="2"/>
        <v>0</v>
      </c>
      <c r="AC35" s="461">
        <f t="shared" si="3"/>
        <v>0</v>
      </c>
    </row>
    <row r="36" spans="2:60" ht="18" customHeight="1">
      <c r="B36" s="416">
        <v>16</v>
      </c>
      <c r="C36" s="446"/>
      <c r="D36" s="802" t="s">
        <v>2</v>
      </c>
      <c r="E36" s="802"/>
      <c r="F36" s="802"/>
      <c r="G36" s="822" t="s">
        <v>2</v>
      </c>
      <c r="H36" s="822"/>
      <c r="I36" s="822"/>
      <c r="J36" s="802" t="s">
        <v>2</v>
      </c>
      <c r="K36" s="802"/>
      <c r="L36" s="802"/>
      <c r="M36" s="802" t="s">
        <v>2</v>
      </c>
      <c r="N36" s="802"/>
      <c r="O36" s="802"/>
      <c r="P36" s="815">
        <v>1.0000000000000001E-9</v>
      </c>
      <c r="Q36" s="815"/>
      <c r="R36" s="598" t="s">
        <v>439</v>
      </c>
      <c r="S36" s="504" t="s">
        <v>439</v>
      </c>
      <c r="T36" s="606" t="s">
        <v>18</v>
      </c>
      <c r="U36" s="606" t="s">
        <v>18</v>
      </c>
      <c r="V36" s="510"/>
      <c r="W36" s="446" t="s">
        <v>18</v>
      </c>
      <c r="X36" s="285"/>
      <c r="Y36" s="546">
        <f t="shared" si="0"/>
        <v>0</v>
      </c>
      <c r="Z36" s="447">
        <v>2499</v>
      </c>
      <c r="AA36" s="417">
        <f t="shared" si="1"/>
        <v>0</v>
      </c>
      <c r="AB36" s="461">
        <f t="shared" si="2"/>
        <v>0</v>
      </c>
      <c r="AC36" s="461">
        <f t="shared" si="3"/>
        <v>0</v>
      </c>
    </row>
    <row r="37" spans="2:60" ht="18" customHeight="1">
      <c r="B37" s="416">
        <v>17</v>
      </c>
      <c r="C37" s="446"/>
      <c r="D37" s="802" t="s">
        <v>2</v>
      </c>
      <c r="E37" s="802"/>
      <c r="F37" s="802"/>
      <c r="G37" s="822" t="s">
        <v>2</v>
      </c>
      <c r="H37" s="822"/>
      <c r="I37" s="822"/>
      <c r="J37" s="802" t="s">
        <v>2</v>
      </c>
      <c r="K37" s="802"/>
      <c r="L37" s="802"/>
      <c r="M37" s="802" t="s">
        <v>2</v>
      </c>
      <c r="N37" s="802"/>
      <c r="O37" s="802"/>
      <c r="P37" s="815">
        <v>1.0000000000000001E-9</v>
      </c>
      <c r="Q37" s="815"/>
      <c r="R37" s="598" t="s">
        <v>439</v>
      </c>
      <c r="S37" s="504" t="s">
        <v>439</v>
      </c>
      <c r="T37" s="606" t="s">
        <v>18</v>
      </c>
      <c r="U37" s="606" t="s">
        <v>18</v>
      </c>
      <c r="V37" s="510"/>
      <c r="W37" s="446" t="s">
        <v>18</v>
      </c>
      <c r="X37" s="285"/>
      <c r="Y37" s="546">
        <f t="shared" si="0"/>
        <v>0</v>
      </c>
      <c r="Z37" s="447">
        <v>2499</v>
      </c>
      <c r="AA37" s="417">
        <f t="shared" si="1"/>
        <v>0</v>
      </c>
      <c r="AB37" s="461">
        <f t="shared" si="2"/>
        <v>0</v>
      </c>
      <c r="AC37" s="461">
        <f t="shared" si="3"/>
        <v>0</v>
      </c>
    </row>
    <row r="38" spans="2:60" ht="18" customHeight="1">
      <c r="B38" s="416">
        <v>18</v>
      </c>
      <c r="C38" s="446"/>
      <c r="D38" s="802" t="s">
        <v>2</v>
      </c>
      <c r="E38" s="802"/>
      <c r="F38" s="802"/>
      <c r="G38" s="822" t="s">
        <v>2</v>
      </c>
      <c r="H38" s="822"/>
      <c r="I38" s="822"/>
      <c r="J38" s="802" t="s">
        <v>2</v>
      </c>
      <c r="K38" s="802"/>
      <c r="L38" s="802"/>
      <c r="M38" s="802" t="s">
        <v>2</v>
      </c>
      <c r="N38" s="802"/>
      <c r="O38" s="802"/>
      <c r="P38" s="815">
        <v>1.0000000000000001E-9</v>
      </c>
      <c r="Q38" s="815"/>
      <c r="R38" s="598" t="s">
        <v>439</v>
      </c>
      <c r="S38" s="504" t="s">
        <v>439</v>
      </c>
      <c r="T38" s="606" t="s">
        <v>18</v>
      </c>
      <c r="U38" s="606" t="s">
        <v>18</v>
      </c>
      <c r="V38" s="510"/>
      <c r="W38" s="446" t="s">
        <v>18</v>
      </c>
      <c r="X38" s="285"/>
      <c r="Y38" s="546">
        <f t="shared" si="0"/>
        <v>0</v>
      </c>
      <c r="Z38" s="447">
        <v>2499</v>
      </c>
      <c r="AA38" s="417">
        <f t="shared" si="1"/>
        <v>0</v>
      </c>
      <c r="AB38" s="461">
        <f t="shared" si="2"/>
        <v>0</v>
      </c>
      <c r="AC38" s="461">
        <f t="shared" si="3"/>
        <v>0</v>
      </c>
    </row>
    <row r="39" spans="2:60" ht="18" customHeight="1">
      <c r="B39" s="416">
        <v>19</v>
      </c>
      <c r="C39" s="446"/>
      <c r="D39" s="802" t="s">
        <v>2</v>
      </c>
      <c r="E39" s="802"/>
      <c r="F39" s="802"/>
      <c r="G39" s="822" t="s">
        <v>2</v>
      </c>
      <c r="H39" s="822"/>
      <c r="I39" s="822"/>
      <c r="J39" s="802" t="s">
        <v>2</v>
      </c>
      <c r="K39" s="802"/>
      <c r="L39" s="802"/>
      <c r="M39" s="802" t="s">
        <v>2</v>
      </c>
      <c r="N39" s="802"/>
      <c r="O39" s="802"/>
      <c r="P39" s="815">
        <v>1.0000000000000001E-9</v>
      </c>
      <c r="Q39" s="815"/>
      <c r="R39" s="598" t="s">
        <v>439</v>
      </c>
      <c r="S39" s="504" t="s">
        <v>439</v>
      </c>
      <c r="T39" s="606" t="s">
        <v>18</v>
      </c>
      <c r="U39" s="606" t="s">
        <v>18</v>
      </c>
      <c r="V39" s="510"/>
      <c r="W39" s="446" t="s">
        <v>18</v>
      </c>
      <c r="X39" s="285"/>
      <c r="Y39" s="546">
        <f t="shared" si="0"/>
        <v>0</v>
      </c>
      <c r="Z39" s="447">
        <v>2499</v>
      </c>
      <c r="AA39" s="417">
        <f t="shared" si="1"/>
        <v>0</v>
      </c>
      <c r="AB39" s="461">
        <f t="shared" si="2"/>
        <v>0</v>
      </c>
      <c r="AC39" s="461">
        <f t="shared" si="3"/>
        <v>0</v>
      </c>
    </row>
    <row r="40" spans="2:60" ht="18" customHeight="1">
      <c r="B40" s="416">
        <v>20</v>
      </c>
      <c r="C40" s="446"/>
      <c r="D40" s="802" t="s">
        <v>2</v>
      </c>
      <c r="E40" s="802"/>
      <c r="F40" s="802"/>
      <c r="G40" s="822" t="s">
        <v>2</v>
      </c>
      <c r="H40" s="822"/>
      <c r="I40" s="822"/>
      <c r="J40" s="802" t="s">
        <v>2</v>
      </c>
      <c r="K40" s="802"/>
      <c r="L40" s="802"/>
      <c r="M40" s="802" t="s">
        <v>2</v>
      </c>
      <c r="N40" s="802"/>
      <c r="O40" s="802"/>
      <c r="P40" s="815">
        <v>1.0000000000000001E-9</v>
      </c>
      <c r="Q40" s="815"/>
      <c r="R40" s="598" t="s">
        <v>439</v>
      </c>
      <c r="S40" s="504" t="s">
        <v>439</v>
      </c>
      <c r="T40" s="606" t="s">
        <v>18</v>
      </c>
      <c r="U40" s="606" t="s">
        <v>18</v>
      </c>
      <c r="V40" s="510"/>
      <c r="W40" s="446" t="s">
        <v>18</v>
      </c>
      <c r="X40" s="285"/>
      <c r="Y40" s="546">
        <f t="shared" si="0"/>
        <v>0</v>
      </c>
      <c r="Z40" s="447">
        <v>2499</v>
      </c>
      <c r="AA40" s="417">
        <f t="shared" si="1"/>
        <v>0</v>
      </c>
      <c r="AB40" s="461">
        <f t="shared" si="2"/>
        <v>0</v>
      </c>
      <c r="AC40" s="461">
        <f t="shared" si="3"/>
        <v>0</v>
      </c>
    </row>
    <row r="41" spans="2:60" ht="18" customHeight="1">
      <c r="B41" s="416">
        <v>21</v>
      </c>
      <c r="C41" s="446"/>
      <c r="D41" s="802" t="s">
        <v>2</v>
      </c>
      <c r="E41" s="802"/>
      <c r="F41" s="802"/>
      <c r="G41" s="822" t="s">
        <v>2</v>
      </c>
      <c r="H41" s="822"/>
      <c r="I41" s="822"/>
      <c r="J41" s="802" t="s">
        <v>2</v>
      </c>
      <c r="K41" s="802"/>
      <c r="L41" s="802"/>
      <c r="M41" s="802" t="s">
        <v>2</v>
      </c>
      <c r="N41" s="802"/>
      <c r="O41" s="802"/>
      <c r="P41" s="815">
        <v>1.0000000000000001E-9</v>
      </c>
      <c r="Q41" s="815"/>
      <c r="R41" s="598" t="s">
        <v>439</v>
      </c>
      <c r="S41" s="504" t="s">
        <v>439</v>
      </c>
      <c r="T41" s="606" t="s">
        <v>18</v>
      </c>
      <c r="U41" s="606" t="s">
        <v>18</v>
      </c>
      <c r="V41" s="510"/>
      <c r="W41" s="446" t="s">
        <v>18</v>
      </c>
      <c r="X41" s="285"/>
      <c r="Y41" s="546">
        <f t="shared" si="0"/>
        <v>0</v>
      </c>
      <c r="Z41" s="447">
        <v>2499</v>
      </c>
      <c r="AA41" s="417">
        <f t="shared" si="1"/>
        <v>0</v>
      </c>
      <c r="AB41" s="461">
        <f t="shared" si="2"/>
        <v>0</v>
      </c>
      <c r="AC41" s="461">
        <f t="shared" si="3"/>
        <v>0</v>
      </c>
    </row>
    <row r="42" spans="2:60" ht="18" customHeight="1">
      <c r="B42" s="416">
        <v>22</v>
      </c>
      <c r="C42" s="446"/>
      <c r="D42" s="802" t="s">
        <v>2</v>
      </c>
      <c r="E42" s="802"/>
      <c r="F42" s="802"/>
      <c r="G42" s="822" t="s">
        <v>2</v>
      </c>
      <c r="H42" s="822"/>
      <c r="I42" s="822"/>
      <c r="J42" s="802" t="s">
        <v>2</v>
      </c>
      <c r="K42" s="802"/>
      <c r="L42" s="802"/>
      <c r="M42" s="802" t="s">
        <v>2</v>
      </c>
      <c r="N42" s="802"/>
      <c r="O42" s="802"/>
      <c r="P42" s="815">
        <v>1.0000000000000001E-9</v>
      </c>
      <c r="Q42" s="815"/>
      <c r="R42" s="598" t="s">
        <v>439</v>
      </c>
      <c r="S42" s="504" t="s">
        <v>439</v>
      </c>
      <c r="T42" s="606" t="s">
        <v>18</v>
      </c>
      <c r="U42" s="606" t="s">
        <v>18</v>
      </c>
      <c r="V42" s="510"/>
      <c r="W42" s="446" t="s">
        <v>18</v>
      </c>
      <c r="X42" s="285"/>
      <c r="Y42" s="546">
        <f t="shared" si="0"/>
        <v>0</v>
      </c>
      <c r="Z42" s="447">
        <v>2499</v>
      </c>
      <c r="AA42" s="417">
        <f t="shared" si="1"/>
        <v>0</v>
      </c>
      <c r="AB42" s="461">
        <f t="shared" si="2"/>
        <v>0</v>
      </c>
      <c r="AC42" s="461">
        <f t="shared" si="3"/>
        <v>0</v>
      </c>
    </row>
    <row r="43" spans="2:60" ht="18" customHeight="1">
      <c r="B43" s="416">
        <v>23</v>
      </c>
      <c r="C43" s="446"/>
      <c r="D43" s="802" t="s">
        <v>2</v>
      </c>
      <c r="E43" s="802"/>
      <c r="F43" s="802"/>
      <c r="G43" s="822" t="s">
        <v>2</v>
      </c>
      <c r="H43" s="822"/>
      <c r="I43" s="822"/>
      <c r="J43" s="802" t="s">
        <v>2</v>
      </c>
      <c r="K43" s="802"/>
      <c r="L43" s="802"/>
      <c r="M43" s="802" t="s">
        <v>2</v>
      </c>
      <c r="N43" s="802"/>
      <c r="O43" s="802"/>
      <c r="P43" s="815">
        <v>1.0000000000000001E-9</v>
      </c>
      <c r="Q43" s="815"/>
      <c r="R43" s="598" t="s">
        <v>439</v>
      </c>
      <c r="S43" s="504" t="s">
        <v>439</v>
      </c>
      <c r="T43" s="606" t="s">
        <v>18</v>
      </c>
      <c r="U43" s="606" t="s">
        <v>18</v>
      </c>
      <c r="V43" s="510"/>
      <c r="W43" s="446" t="s">
        <v>18</v>
      </c>
      <c r="X43" s="285"/>
      <c r="Y43" s="546">
        <f t="shared" si="0"/>
        <v>0</v>
      </c>
      <c r="Z43" s="447">
        <v>2499</v>
      </c>
      <c r="AA43" s="417">
        <f t="shared" si="1"/>
        <v>0</v>
      </c>
      <c r="AB43" s="461">
        <f t="shared" si="2"/>
        <v>0</v>
      </c>
      <c r="AC43" s="461">
        <f t="shared" si="3"/>
        <v>0</v>
      </c>
    </row>
    <row r="44" spans="2:60" ht="18" customHeight="1">
      <c r="B44" s="416">
        <v>24</v>
      </c>
      <c r="C44" s="446"/>
      <c r="D44" s="802" t="s">
        <v>2</v>
      </c>
      <c r="E44" s="802"/>
      <c r="F44" s="802"/>
      <c r="G44" s="822" t="s">
        <v>2</v>
      </c>
      <c r="H44" s="822"/>
      <c r="I44" s="822"/>
      <c r="J44" s="802" t="s">
        <v>2</v>
      </c>
      <c r="K44" s="802"/>
      <c r="L44" s="802"/>
      <c r="M44" s="802" t="s">
        <v>2</v>
      </c>
      <c r="N44" s="802"/>
      <c r="O44" s="802"/>
      <c r="P44" s="815">
        <v>1.0000000000000001E-9</v>
      </c>
      <c r="Q44" s="815"/>
      <c r="R44" s="598" t="s">
        <v>439</v>
      </c>
      <c r="S44" s="504" t="s">
        <v>439</v>
      </c>
      <c r="T44" s="606" t="s">
        <v>18</v>
      </c>
      <c r="U44" s="606" t="s">
        <v>18</v>
      </c>
      <c r="V44" s="510"/>
      <c r="W44" s="446" t="s">
        <v>18</v>
      </c>
      <c r="X44" s="285"/>
      <c r="Y44" s="546">
        <f t="shared" si="0"/>
        <v>0</v>
      </c>
      <c r="Z44" s="447">
        <v>2499</v>
      </c>
      <c r="AA44" s="417">
        <f t="shared" si="1"/>
        <v>0</v>
      </c>
      <c r="AB44" s="461">
        <f t="shared" si="2"/>
        <v>0</v>
      </c>
      <c r="AC44" s="461">
        <f t="shared" si="3"/>
        <v>0</v>
      </c>
    </row>
    <row r="45" spans="2:60" ht="18" customHeight="1">
      <c r="B45" s="416">
        <v>25</v>
      </c>
      <c r="C45" s="446"/>
      <c r="D45" s="802" t="s">
        <v>2</v>
      </c>
      <c r="E45" s="802"/>
      <c r="F45" s="802"/>
      <c r="G45" s="822" t="s">
        <v>2</v>
      </c>
      <c r="H45" s="822"/>
      <c r="I45" s="822"/>
      <c r="J45" s="802" t="s">
        <v>2</v>
      </c>
      <c r="K45" s="802"/>
      <c r="L45" s="802"/>
      <c r="M45" s="802" t="s">
        <v>2</v>
      </c>
      <c r="N45" s="802"/>
      <c r="O45" s="802"/>
      <c r="P45" s="815">
        <v>1.0000000000000001E-9</v>
      </c>
      <c r="Q45" s="815"/>
      <c r="R45" s="598" t="s">
        <v>439</v>
      </c>
      <c r="S45" s="504" t="s">
        <v>439</v>
      </c>
      <c r="T45" s="606" t="s">
        <v>18</v>
      </c>
      <c r="U45" s="606" t="s">
        <v>18</v>
      </c>
      <c r="V45" s="510"/>
      <c r="W45" s="446" t="s">
        <v>18</v>
      </c>
      <c r="X45" s="285"/>
      <c r="Y45" s="546">
        <f t="shared" si="0"/>
        <v>0</v>
      </c>
      <c r="Z45" s="447">
        <v>2499</v>
      </c>
      <c r="AA45" s="417">
        <f t="shared" si="1"/>
        <v>0</v>
      </c>
      <c r="AB45" s="461">
        <f t="shared" si="2"/>
        <v>0</v>
      </c>
      <c r="AC45" s="461">
        <f t="shared" si="3"/>
        <v>0</v>
      </c>
    </row>
    <row r="46" spans="2:60" s="256" customFormat="1" ht="9.75" customHeight="1">
      <c r="B46" s="281"/>
      <c r="D46" s="299"/>
      <c r="E46" s="299"/>
      <c r="F46" s="299"/>
      <c r="G46" s="299"/>
      <c r="H46" s="299"/>
      <c r="I46" s="299"/>
      <c r="J46" s="299"/>
      <c r="K46" s="299"/>
      <c r="L46" s="299"/>
      <c r="M46" s="299"/>
      <c r="N46" s="299"/>
      <c r="O46" s="299"/>
      <c r="P46" s="299"/>
      <c r="Q46" s="299"/>
      <c r="R46" s="299"/>
      <c r="S46" s="299"/>
      <c r="U46" s="299"/>
      <c r="W46" s="299"/>
      <c r="Y46" s="299"/>
      <c r="Z46" s="299"/>
      <c r="AB46" s="461"/>
      <c r="AC46" s="461"/>
      <c r="AD46" s="461"/>
      <c r="AE46" s="461"/>
      <c r="AF46" s="461"/>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row>
    <row r="47" spans="2:60" ht="18">
      <c r="B47" s="418" t="s">
        <v>416</v>
      </c>
    </row>
    <row r="49" spans="2:60">
      <c r="B49" s="245" t="s">
        <v>2</v>
      </c>
      <c r="C49" s="305" t="s">
        <v>417</v>
      </c>
      <c r="I49" s="305" t="s">
        <v>418</v>
      </c>
      <c r="W49" s="305" t="s">
        <v>419</v>
      </c>
    </row>
    <row r="50" spans="2:60" ht="17.25" customHeight="1">
      <c r="B50" s="282" t="s">
        <v>2</v>
      </c>
      <c r="C50" s="448" t="s">
        <v>2</v>
      </c>
      <c r="D50" s="823" t="s">
        <v>2</v>
      </c>
      <c r="E50" s="824"/>
      <c r="F50" s="824"/>
      <c r="G50" s="824"/>
      <c r="H50" s="824"/>
      <c r="I50" s="824"/>
      <c r="J50" s="824"/>
      <c r="K50" s="824"/>
      <c r="L50" s="824"/>
      <c r="M50" s="824"/>
      <c r="N50" s="824"/>
      <c r="O50" s="824"/>
      <c r="P50" s="824"/>
      <c r="Q50" s="824"/>
      <c r="R50" s="824"/>
      <c r="S50" s="824"/>
      <c r="T50" s="824"/>
      <c r="U50" s="825"/>
      <c r="V50" s="419"/>
      <c r="W50" s="819"/>
      <c r="X50" s="820"/>
      <c r="Y50" s="821"/>
    </row>
    <row r="51" spans="2:60" ht="17.25" customHeight="1">
      <c r="B51" s="282" t="s">
        <v>2</v>
      </c>
      <c r="C51" s="448" t="s">
        <v>2</v>
      </c>
      <c r="D51" s="803" t="s">
        <v>2</v>
      </c>
      <c r="E51" s="804"/>
      <c r="F51" s="804"/>
      <c r="G51" s="804"/>
      <c r="H51" s="804"/>
      <c r="I51" s="804"/>
      <c r="J51" s="804"/>
      <c r="K51" s="804"/>
      <c r="L51" s="804"/>
      <c r="M51" s="804"/>
      <c r="N51" s="804"/>
      <c r="O51" s="804"/>
      <c r="P51" s="804"/>
      <c r="Q51" s="804"/>
      <c r="R51" s="804"/>
      <c r="S51" s="804"/>
      <c r="T51" s="804"/>
      <c r="U51" s="805"/>
      <c r="V51" s="419"/>
      <c r="W51" s="819"/>
      <c r="X51" s="820"/>
      <c r="Y51" s="821"/>
    </row>
    <row r="52" spans="2:60" ht="17.25" customHeight="1">
      <c r="B52" s="282" t="s">
        <v>2</v>
      </c>
      <c r="C52" s="448" t="s">
        <v>2</v>
      </c>
      <c r="D52" s="803" t="s">
        <v>2</v>
      </c>
      <c r="E52" s="804"/>
      <c r="F52" s="804"/>
      <c r="G52" s="804"/>
      <c r="H52" s="804"/>
      <c r="I52" s="804"/>
      <c r="J52" s="804"/>
      <c r="K52" s="804"/>
      <c r="L52" s="804"/>
      <c r="M52" s="804"/>
      <c r="N52" s="804"/>
      <c r="O52" s="804"/>
      <c r="P52" s="804"/>
      <c r="Q52" s="804"/>
      <c r="R52" s="804"/>
      <c r="S52" s="804"/>
      <c r="T52" s="804"/>
      <c r="U52" s="805"/>
      <c r="V52" s="419"/>
      <c r="W52" s="819"/>
      <c r="X52" s="820"/>
      <c r="Y52" s="821"/>
    </row>
    <row r="53" spans="2:60" ht="17.25" customHeight="1">
      <c r="B53" s="282" t="s">
        <v>2</v>
      </c>
      <c r="C53" s="448" t="s">
        <v>2</v>
      </c>
      <c r="D53" s="803" t="s">
        <v>2</v>
      </c>
      <c r="E53" s="804"/>
      <c r="F53" s="804"/>
      <c r="G53" s="804"/>
      <c r="H53" s="804"/>
      <c r="I53" s="804"/>
      <c r="J53" s="804"/>
      <c r="K53" s="804"/>
      <c r="L53" s="804"/>
      <c r="M53" s="804"/>
      <c r="N53" s="804"/>
      <c r="O53" s="804"/>
      <c r="P53" s="804"/>
      <c r="Q53" s="804"/>
      <c r="R53" s="804"/>
      <c r="S53" s="804"/>
      <c r="T53" s="804"/>
      <c r="U53" s="805"/>
      <c r="V53" s="419"/>
      <c r="W53" s="819"/>
      <c r="X53" s="820"/>
      <c r="Y53" s="821"/>
    </row>
    <row r="54" spans="2:60" ht="17.25" customHeight="1">
      <c r="B54" s="282" t="s">
        <v>2</v>
      </c>
      <c r="C54" s="448" t="s">
        <v>2</v>
      </c>
      <c r="D54" s="803" t="s">
        <v>2</v>
      </c>
      <c r="E54" s="804"/>
      <c r="F54" s="804"/>
      <c r="G54" s="804"/>
      <c r="H54" s="804"/>
      <c r="I54" s="804"/>
      <c r="J54" s="804"/>
      <c r="K54" s="804"/>
      <c r="L54" s="804"/>
      <c r="M54" s="804"/>
      <c r="N54" s="804"/>
      <c r="O54" s="804"/>
      <c r="P54" s="804"/>
      <c r="Q54" s="804"/>
      <c r="R54" s="804"/>
      <c r="S54" s="804"/>
      <c r="T54" s="804"/>
      <c r="U54" s="805"/>
      <c r="V54" s="419"/>
      <c r="W54" s="819"/>
      <c r="X54" s="820"/>
      <c r="Y54" s="821"/>
    </row>
    <row r="55" spans="2:60" ht="17.25" customHeight="1">
      <c r="B55" s="282" t="s">
        <v>2</v>
      </c>
      <c r="C55" s="448" t="s">
        <v>2</v>
      </c>
      <c r="D55" s="803" t="s">
        <v>2</v>
      </c>
      <c r="E55" s="804"/>
      <c r="F55" s="804"/>
      <c r="G55" s="804"/>
      <c r="H55" s="804"/>
      <c r="I55" s="804"/>
      <c r="J55" s="804"/>
      <c r="K55" s="804"/>
      <c r="L55" s="804"/>
      <c r="M55" s="804"/>
      <c r="N55" s="804"/>
      <c r="O55" s="804"/>
      <c r="P55" s="804"/>
      <c r="Q55" s="804"/>
      <c r="R55" s="804"/>
      <c r="S55" s="804"/>
      <c r="T55" s="804"/>
      <c r="U55" s="805"/>
      <c r="V55" s="419"/>
      <c r="W55" s="819"/>
      <c r="X55" s="820"/>
      <c r="Y55" s="821"/>
    </row>
    <row r="56" spans="2:60" ht="17.25" customHeight="1">
      <c r="B56" s="282" t="s">
        <v>2</v>
      </c>
      <c r="C56" s="448" t="s">
        <v>2</v>
      </c>
      <c r="D56" s="803" t="s">
        <v>2</v>
      </c>
      <c r="E56" s="804"/>
      <c r="F56" s="804"/>
      <c r="G56" s="804"/>
      <c r="H56" s="804"/>
      <c r="I56" s="804"/>
      <c r="J56" s="804"/>
      <c r="K56" s="804"/>
      <c r="L56" s="804"/>
      <c r="M56" s="804"/>
      <c r="N56" s="804"/>
      <c r="O56" s="804"/>
      <c r="P56" s="804"/>
      <c r="Q56" s="804"/>
      <c r="R56" s="804"/>
      <c r="S56" s="804"/>
      <c r="T56" s="804"/>
      <c r="U56" s="805"/>
      <c r="V56" s="419"/>
      <c r="W56" s="819"/>
      <c r="X56" s="820"/>
      <c r="Y56" s="821"/>
    </row>
    <row r="57" spans="2:60" ht="17.25" customHeight="1">
      <c r="B57" s="282" t="s">
        <v>2</v>
      </c>
      <c r="C57" s="448" t="s">
        <v>2</v>
      </c>
      <c r="D57" s="803" t="s">
        <v>2</v>
      </c>
      <c r="E57" s="804"/>
      <c r="F57" s="804"/>
      <c r="G57" s="804"/>
      <c r="H57" s="804"/>
      <c r="I57" s="804"/>
      <c r="J57" s="804"/>
      <c r="K57" s="804"/>
      <c r="L57" s="804"/>
      <c r="M57" s="804"/>
      <c r="N57" s="804"/>
      <c r="O57" s="804"/>
      <c r="P57" s="804"/>
      <c r="Q57" s="804"/>
      <c r="R57" s="804"/>
      <c r="S57" s="804"/>
      <c r="T57" s="804"/>
      <c r="U57" s="805"/>
      <c r="V57" s="419"/>
      <c r="W57" s="819"/>
      <c r="X57" s="820"/>
      <c r="Y57" s="821"/>
    </row>
    <row r="58" spans="2:60" s="261" customFormat="1" ht="13.5" thickBot="1">
      <c r="G58" s="261" t="s">
        <v>2</v>
      </c>
      <c r="AB58" s="461"/>
      <c r="AC58" s="461"/>
      <c r="AD58" s="461"/>
      <c r="AE58" s="461"/>
      <c r="AF58" s="461"/>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row>
    <row r="59" spans="2:60" hidden="1"/>
    <row r="60" spans="2:60" hidden="1"/>
    <row r="62" spans="2:60" ht="18">
      <c r="B62" s="451" t="s">
        <v>438</v>
      </c>
    </row>
    <row r="63" spans="2:60" ht="1.5" customHeight="1">
      <c r="B63" s="313"/>
      <c r="C63" s="313"/>
      <c r="D63" s="313"/>
      <c r="E63" s="313"/>
      <c r="F63" s="313"/>
      <c r="G63" s="313"/>
      <c r="H63" s="313"/>
      <c r="I63" s="313"/>
      <c r="J63" s="313"/>
      <c r="K63" s="313"/>
      <c r="L63" s="313"/>
      <c r="M63" s="313"/>
      <c r="N63" s="314"/>
      <c r="O63" s="314" t="s">
        <v>41</v>
      </c>
      <c r="P63" s="314"/>
      <c r="Q63" s="314"/>
      <c r="R63" s="314" t="s">
        <v>42</v>
      </c>
      <c r="S63" s="314"/>
      <c r="T63" s="314"/>
      <c r="U63" s="314"/>
      <c r="V63" s="315" t="s">
        <v>43</v>
      </c>
      <c r="W63" s="314"/>
      <c r="X63" s="313"/>
      <c r="Y63" s="313"/>
      <c r="Z63" s="316"/>
    </row>
    <row r="64" spans="2:60" ht="3" customHeight="1">
      <c r="B64" s="314" t="s">
        <v>44</v>
      </c>
      <c r="C64" s="313"/>
      <c r="D64" s="313"/>
      <c r="E64" s="313"/>
      <c r="F64" s="313"/>
      <c r="G64" s="313"/>
      <c r="H64" s="318" t="s">
        <v>45</v>
      </c>
      <c r="I64" s="319"/>
      <c r="J64" s="320" t="s">
        <v>2</v>
      </c>
      <c r="K64" s="319"/>
      <c r="L64" s="319"/>
      <c r="M64" s="319"/>
      <c r="N64" s="319"/>
      <c r="O64" s="319"/>
      <c r="P64" s="319"/>
      <c r="Q64" s="319"/>
      <c r="R64" s="319"/>
      <c r="S64" s="319"/>
      <c r="T64" s="319"/>
      <c r="U64" s="319"/>
      <c r="V64" s="319"/>
      <c r="W64" s="319"/>
      <c r="X64" s="319"/>
      <c r="Y64" s="319"/>
      <c r="Z64" s="316"/>
    </row>
    <row r="65" spans="2:60" ht="3" customHeight="1">
      <c r="B65" s="313"/>
      <c r="C65" s="313"/>
      <c r="D65" s="313"/>
      <c r="E65" s="313"/>
      <c r="F65" s="313"/>
      <c r="G65" s="319"/>
      <c r="H65" s="319"/>
      <c r="I65" s="319"/>
      <c r="J65" s="319"/>
      <c r="K65" s="319"/>
      <c r="L65" s="319"/>
      <c r="M65" s="319"/>
      <c r="N65" s="738"/>
      <c r="O65" s="738"/>
      <c r="P65" s="738"/>
      <c r="Q65" s="321" t="s">
        <v>46</v>
      </c>
      <c r="R65" s="322"/>
      <c r="S65" s="321" t="s">
        <v>47</v>
      </c>
      <c r="T65" s="738">
        <f>N65*R65/100</f>
        <v>0</v>
      </c>
      <c r="U65" s="738"/>
      <c r="V65" s="738"/>
      <c r="W65" s="738"/>
      <c r="X65" s="738"/>
      <c r="Y65" s="319"/>
      <c r="Z65" s="316"/>
    </row>
    <row r="66" spans="2:60" ht="0.75" customHeight="1">
      <c r="B66" s="316"/>
      <c r="C66" s="876" t="s">
        <v>2</v>
      </c>
      <c r="D66" s="876"/>
      <c r="E66" s="876"/>
      <c r="F66" s="876"/>
      <c r="G66" s="876"/>
      <c r="H66" s="876"/>
      <c r="I66" s="876"/>
      <c r="J66" s="876"/>
      <c r="K66" s="876"/>
      <c r="L66" s="876"/>
      <c r="M66" s="876"/>
      <c r="N66" s="876"/>
      <c r="O66" s="876"/>
      <c r="P66" s="876"/>
      <c r="Q66" s="876"/>
      <c r="R66" s="876"/>
      <c r="S66" s="876"/>
      <c r="T66" s="876"/>
      <c r="U66" s="876"/>
      <c r="V66" s="876"/>
      <c r="W66" s="876"/>
      <c r="X66" s="876"/>
      <c r="Y66" s="876"/>
      <c r="Z66" s="316"/>
    </row>
    <row r="67" spans="2:60" ht="3.75" customHeight="1">
      <c r="B67" s="316"/>
      <c r="C67" s="316"/>
      <c r="D67" s="316"/>
      <c r="E67" s="316"/>
      <c r="F67" s="316"/>
      <c r="G67" s="323"/>
      <c r="H67" s="323"/>
      <c r="I67" s="319"/>
      <c r="J67" s="319"/>
      <c r="K67" s="319"/>
      <c r="L67" s="319"/>
      <c r="M67" s="319"/>
      <c r="N67" s="738"/>
      <c r="O67" s="738"/>
      <c r="P67" s="738"/>
      <c r="Q67" s="321"/>
      <c r="R67" s="322"/>
      <c r="S67" s="321"/>
      <c r="T67" s="738">
        <f>N67*R67/100</f>
        <v>0</v>
      </c>
      <c r="U67" s="738"/>
      <c r="V67" s="738"/>
      <c r="W67" s="738"/>
      <c r="X67" s="738"/>
      <c r="Y67" s="319"/>
      <c r="Z67" s="316"/>
    </row>
    <row r="68" spans="2:60" ht="2.25" customHeight="1">
      <c r="B68" s="316"/>
      <c r="C68" s="316"/>
      <c r="D68" s="316"/>
      <c r="E68" s="316"/>
      <c r="F68" s="316"/>
      <c r="G68" s="323"/>
      <c r="H68" s="323"/>
      <c r="I68" s="319"/>
      <c r="J68" s="319"/>
      <c r="K68" s="319"/>
      <c r="L68" s="319"/>
      <c r="M68" s="319"/>
      <c r="N68" s="738"/>
      <c r="O68" s="738"/>
      <c r="P68" s="738"/>
      <c r="Q68" s="321"/>
      <c r="R68" s="322"/>
      <c r="S68" s="321"/>
      <c r="T68" s="738">
        <f>N68*R68/100</f>
        <v>0</v>
      </c>
      <c r="U68" s="738"/>
      <c r="V68" s="738"/>
      <c r="W68" s="738"/>
      <c r="X68" s="738"/>
      <c r="Y68" s="319"/>
      <c r="Z68" s="316"/>
    </row>
    <row r="69" spans="2:60" s="256" customFormat="1" ht="4.5" hidden="1" customHeight="1">
      <c r="B69" s="323"/>
      <c r="C69" s="323"/>
      <c r="D69" s="323"/>
      <c r="E69" s="323"/>
      <c r="F69" s="323"/>
      <c r="G69" s="323"/>
      <c r="H69" s="323"/>
      <c r="I69" s="319"/>
      <c r="J69" s="319"/>
      <c r="K69" s="319"/>
      <c r="L69" s="319"/>
      <c r="M69" s="319"/>
      <c r="N69" s="324"/>
      <c r="O69" s="324"/>
      <c r="P69" s="324"/>
      <c r="Q69" s="321"/>
      <c r="R69" s="319"/>
      <c r="S69" s="321"/>
      <c r="T69" s="324"/>
      <c r="U69" s="324"/>
      <c r="V69" s="324"/>
      <c r="W69" s="324"/>
      <c r="X69" s="324"/>
      <c r="Y69" s="319"/>
      <c r="Z69" s="323"/>
      <c r="AB69" s="461"/>
      <c r="AC69" s="461"/>
      <c r="AD69" s="461"/>
      <c r="AE69" s="461"/>
      <c r="AF69" s="461"/>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row>
    <row r="70" spans="2:60" ht="4.5" hidden="1" customHeight="1">
      <c r="B70" s="316"/>
      <c r="C70" s="316"/>
      <c r="D70" s="316"/>
      <c r="E70" s="316"/>
      <c r="F70" s="316"/>
      <c r="G70" s="323"/>
      <c r="H70" s="323"/>
      <c r="I70" s="319"/>
      <c r="J70" s="319"/>
      <c r="K70" s="319"/>
      <c r="L70" s="319"/>
      <c r="M70" s="319"/>
      <c r="N70" s="319"/>
      <c r="O70" s="319"/>
      <c r="P70" s="319"/>
      <c r="Q70" s="319"/>
      <c r="R70" s="319"/>
      <c r="S70" s="325" t="s">
        <v>48</v>
      </c>
      <c r="T70" s="738">
        <f>SUM(T65:X68)</f>
        <v>0</v>
      </c>
      <c r="U70" s="738"/>
      <c r="V70" s="738"/>
      <c r="W70" s="738"/>
      <c r="X70" s="738"/>
      <c r="Y70" s="319"/>
      <c r="Z70" s="316"/>
    </row>
    <row r="71" spans="2:60" ht="1.5" hidden="1" customHeight="1">
      <c r="B71" s="316"/>
      <c r="C71" s="316"/>
      <c r="D71" s="316"/>
      <c r="E71" s="316"/>
      <c r="F71" s="316"/>
      <c r="G71" s="316"/>
      <c r="H71" s="316"/>
      <c r="I71" s="319"/>
      <c r="J71" s="319"/>
      <c r="K71" s="319"/>
      <c r="L71" s="319"/>
      <c r="M71" s="319"/>
      <c r="N71" s="319"/>
      <c r="O71" s="319"/>
      <c r="P71" s="319"/>
      <c r="Q71" s="319"/>
      <c r="R71" s="319"/>
      <c r="S71" s="319"/>
      <c r="T71" s="319"/>
      <c r="U71" s="319"/>
      <c r="V71" s="319"/>
      <c r="W71" s="319"/>
      <c r="X71" s="319"/>
      <c r="Y71" s="319"/>
      <c r="Z71" s="316"/>
    </row>
    <row r="72" spans="2:60" ht="23.25" hidden="1">
      <c r="B72" s="520" t="s">
        <v>2</v>
      </c>
      <c r="O72" s="282" t="s">
        <v>41</v>
      </c>
      <c r="Q72" s="319"/>
      <c r="R72" s="413"/>
      <c r="S72" s="319"/>
      <c r="T72" s="319"/>
      <c r="U72" s="319"/>
      <c r="V72" s="420"/>
      <c r="W72" s="319"/>
      <c r="X72" s="319"/>
      <c r="Y72" s="319"/>
    </row>
    <row r="73" spans="2:60" ht="13.5" thickBot="1">
      <c r="I73" s="245" t="s">
        <v>49</v>
      </c>
      <c r="N73" s="305" t="s">
        <v>423</v>
      </c>
      <c r="Q73" s="319"/>
      <c r="R73" s="319"/>
      <c r="S73" s="319"/>
      <c r="T73" s="319"/>
      <c r="U73" s="319"/>
      <c r="V73" s="319"/>
      <c r="W73" s="319"/>
      <c r="X73" s="319"/>
      <c r="Y73" s="319"/>
    </row>
    <row r="74" spans="2:60" ht="18.75" customHeight="1" thickBot="1">
      <c r="F74" s="302" t="s">
        <v>408</v>
      </c>
      <c r="H74" s="811" t="s">
        <v>2</v>
      </c>
      <c r="I74" s="812"/>
      <c r="J74" s="813"/>
      <c r="N74" s="807"/>
      <c r="O74" s="808"/>
      <c r="P74" s="809"/>
      <c r="Q74" s="319"/>
      <c r="R74" s="422"/>
      <c r="S74" s="319"/>
      <c r="T74" s="738"/>
      <c r="U74" s="738"/>
      <c r="V74" s="738"/>
      <c r="W74" s="738"/>
      <c r="X74" s="319"/>
      <c r="Y74" s="319"/>
    </row>
    <row r="75" spans="2:60" ht="4.5" customHeight="1" thickBot="1">
      <c r="F75" s="263"/>
      <c r="N75" s="547"/>
      <c r="O75" s="547"/>
      <c r="P75" s="547"/>
      <c r="Q75" s="319"/>
      <c r="R75" s="319"/>
      <c r="S75" s="319"/>
      <c r="T75" s="319"/>
      <c r="U75" s="319"/>
      <c r="V75" s="319"/>
      <c r="W75" s="319"/>
      <c r="X75" s="319"/>
      <c r="Y75" s="319"/>
    </row>
    <row r="76" spans="2:60" ht="18.75" customHeight="1" thickBot="1">
      <c r="F76" s="302" t="s">
        <v>409</v>
      </c>
      <c r="H76" s="811" t="s">
        <v>2</v>
      </c>
      <c r="I76" s="812"/>
      <c r="J76" s="813"/>
      <c r="N76" s="807"/>
      <c r="O76" s="808"/>
      <c r="P76" s="809"/>
      <c r="Q76" s="319"/>
      <c r="R76" s="422"/>
      <c r="S76" s="319"/>
      <c r="T76" s="869" t="s">
        <v>567</v>
      </c>
      <c r="U76" s="738"/>
      <c r="V76" s="738"/>
      <c r="W76" s="738"/>
      <c r="X76" s="319"/>
      <c r="Y76" s="319"/>
    </row>
    <row r="77" spans="2:60" ht="4.5" customHeight="1" thickBot="1">
      <c r="F77" s="302" t="s">
        <v>2</v>
      </c>
      <c r="N77" s="547"/>
      <c r="O77" s="547"/>
      <c r="P77" s="547"/>
      <c r="Q77" s="319"/>
      <c r="R77" s="319"/>
      <c r="S77" s="319"/>
      <c r="T77" s="319"/>
      <c r="U77" s="319"/>
      <c r="V77" s="319"/>
      <c r="W77" s="319"/>
      <c r="X77" s="319"/>
      <c r="Y77" s="319"/>
    </row>
    <row r="78" spans="2:60" ht="18.75" customHeight="1" thickBot="1">
      <c r="F78" s="302" t="s">
        <v>410</v>
      </c>
      <c r="H78" s="811" t="s">
        <v>2</v>
      </c>
      <c r="I78" s="812"/>
      <c r="J78" s="813"/>
      <c r="N78" s="807"/>
      <c r="O78" s="808"/>
      <c r="P78" s="809"/>
      <c r="Q78" s="319"/>
      <c r="R78" s="423"/>
      <c r="S78" s="319"/>
      <c r="T78" s="869" t="s">
        <v>558</v>
      </c>
      <c r="U78" s="738"/>
      <c r="V78" s="738"/>
      <c r="W78" s="738"/>
      <c r="X78" s="319"/>
      <c r="Y78" s="319"/>
    </row>
    <row r="79" spans="2:60" ht="4.5" customHeight="1" thickBot="1">
      <c r="F79" s="263"/>
      <c r="N79" s="547"/>
      <c r="O79" s="547"/>
      <c r="P79" s="547"/>
      <c r="Q79" s="319"/>
      <c r="R79" s="319"/>
      <c r="S79" s="319"/>
      <c r="T79" s="319"/>
      <c r="U79" s="319"/>
      <c r="V79" s="319"/>
      <c r="W79" s="319"/>
      <c r="X79" s="319"/>
      <c r="Y79" s="319"/>
    </row>
    <row r="80" spans="2:60" ht="18.75" customHeight="1" thickBot="1">
      <c r="F80" s="302" t="s">
        <v>545</v>
      </c>
      <c r="H80" s="811" t="s">
        <v>2</v>
      </c>
      <c r="I80" s="812"/>
      <c r="J80" s="813"/>
      <c r="N80" s="807"/>
      <c r="O80" s="808"/>
      <c r="P80" s="809"/>
      <c r="Q80" s="319"/>
      <c r="R80" s="423"/>
      <c r="S80" s="250"/>
      <c r="T80" s="810"/>
      <c r="U80" s="810"/>
      <c r="V80" s="810"/>
      <c r="W80" s="810"/>
      <c r="X80" s="319"/>
      <c r="Y80" s="319"/>
    </row>
    <row r="81" spans="3:26" ht="4.5" customHeight="1" thickBot="1">
      <c r="F81" s="421"/>
      <c r="N81" s="547"/>
      <c r="O81" s="547"/>
      <c r="P81" s="547"/>
      <c r="Q81" s="319"/>
      <c r="R81" s="250"/>
      <c r="S81" s="250"/>
      <c r="T81" s="250"/>
      <c r="U81" s="250"/>
      <c r="V81" s="250"/>
      <c r="W81" s="250"/>
      <c r="X81" s="319"/>
      <c r="Y81" s="319"/>
    </row>
    <row r="82" spans="3:26" ht="18.75" customHeight="1" thickBot="1">
      <c r="F82" s="302" t="s">
        <v>556</v>
      </c>
      <c r="H82" s="811" t="s">
        <v>2</v>
      </c>
      <c r="I82" s="812"/>
      <c r="J82" s="813"/>
      <c r="N82" s="807"/>
      <c r="O82" s="808"/>
      <c r="P82" s="809"/>
      <c r="Q82" s="319"/>
      <c r="R82" s="423"/>
      <c r="S82" s="250"/>
      <c r="T82" s="810"/>
      <c r="U82" s="810"/>
      <c r="V82" s="810"/>
      <c r="W82" s="810"/>
      <c r="X82" s="319"/>
      <c r="Y82" s="319"/>
    </row>
    <row r="83" spans="3:26" ht="4.5" customHeight="1" thickBot="1">
      <c r="F83" s="421"/>
      <c r="N83" s="547"/>
      <c r="O83" s="547"/>
      <c r="P83" s="547"/>
      <c r="Q83" s="319"/>
      <c r="R83" s="250"/>
      <c r="S83" s="250"/>
      <c r="T83" s="250"/>
      <c r="U83" s="250"/>
      <c r="V83" s="250"/>
      <c r="W83" s="250"/>
      <c r="X83" s="319"/>
      <c r="Y83" s="319"/>
    </row>
    <row r="84" spans="3:26" ht="18.75" customHeight="1" thickBot="1">
      <c r="F84" s="302" t="s">
        <v>411</v>
      </c>
      <c r="H84" s="870" t="s">
        <v>2</v>
      </c>
      <c r="I84" s="871"/>
      <c r="J84" s="872"/>
      <c r="N84" s="807"/>
      <c r="O84" s="808"/>
      <c r="P84" s="809"/>
      <c r="Q84" s="319"/>
      <c r="R84" s="423" t="s">
        <v>252</v>
      </c>
      <c r="S84" s="250"/>
      <c r="T84" s="810"/>
      <c r="U84" s="810"/>
      <c r="V84" s="810"/>
      <c r="W84" s="810"/>
      <c r="X84" s="319"/>
      <c r="Y84" s="319"/>
    </row>
    <row r="85" spans="3:26" ht="4.5" customHeight="1" thickBot="1">
      <c r="F85" s="421"/>
      <c r="N85" s="547"/>
      <c r="O85" s="547"/>
      <c r="P85" s="547"/>
      <c r="Q85" s="319"/>
      <c r="R85" s="250"/>
      <c r="S85" s="250"/>
      <c r="T85" s="250"/>
      <c r="U85" s="250"/>
      <c r="V85" s="250"/>
      <c r="W85" s="250"/>
      <c r="X85" s="319"/>
      <c r="Y85" s="319"/>
    </row>
    <row r="86" spans="3:26" ht="18.75" customHeight="1" thickBot="1">
      <c r="F86" s="302" t="s">
        <v>553</v>
      </c>
      <c r="H86" s="873" t="s">
        <v>2</v>
      </c>
      <c r="I86" s="874"/>
      <c r="J86" s="875"/>
      <c r="N86" s="807"/>
      <c r="O86" s="808"/>
      <c r="P86" s="809"/>
      <c r="Q86" s="319"/>
      <c r="R86" s="860" t="s">
        <v>414</v>
      </c>
      <c r="S86" s="861"/>
      <c r="T86" s="861"/>
      <c r="U86" s="861"/>
      <c r="V86" s="861"/>
      <c r="W86" s="862"/>
      <c r="X86" s="319"/>
      <c r="Y86" s="319"/>
    </row>
    <row r="87" spans="3:26" ht="4.5" customHeight="1" thickBot="1">
      <c r="F87" s="421"/>
      <c r="H87" s="506"/>
      <c r="I87" s="506"/>
      <c r="J87" s="506"/>
      <c r="N87" s="548"/>
      <c r="O87" s="548"/>
      <c r="P87" s="548"/>
      <c r="Q87" s="319"/>
      <c r="R87" s="863"/>
      <c r="S87" s="864"/>
      <c r="T87" s="864"/>
      <c r="U87" s="864"/>
      <c r="V87" s="864"/>
      <c r="W87" s="865"/>
      <c r="X87" s="319"/>
      <c r="Y87" s="319"/>
    </row>
    <row r="88" spans="3:26" ht="23.25" customHeight="1" thickBot="1">
      <c r="F88" s="302" t="s">
        <v>507</v>
      </c>
      <c r="H88" s="816" t="s">
        <v>415</v>
      </c>
      <c r="I88" s="817"/>
      <c r="J88" s="818"/>
      <c r="N88" s="807"/>
      <c r="O88" s="808"/>
      <c r="P88" s="809"/>
      <c r="Q88" s="319"/>
      <c r="R88" s="866"/>
      <c r="S88" s="867"/>
      <c r="T88" s="867"/>
      <c r="U88" s="867"/>
      <c r="V88" s="867"/>
      <c r="W88" s="868"/>
      <c r="X88" s="319"/>
      <c r="Y88" s="319"/>
    </row>
    <row r="89" spans="3:26" ht="15.75" customHeight="1">
      <c r="F89" s="263"/>
      <c r="H89" s="424"/>
      <c r="I89" s="424"/>
      <c r="J89" s="424"/>
      <c r="N89" s="425"/>
      <c r="O89" s="425"/>
      <c r="P89" s="425"/>
      <c r="Q89" s="319"/>
      <c r="R89" s="422"/>
      <c r="S89" s="319"/>
      <c r="T89" s="324"/>
      <c r="U89" s="324"/>
      <c r="V89" s="324"/>
      <c r="W89" s="324"/>
      <c r="X89" s="319"/>
      <c r="Y89" s="319"/>
    </row>
    <row r="90" spans="3:26" ht="13.5" thickBot="1">
      <c r="F90" s="263"/>
      <c r="H90" s="424"/>
      <c r="I90" s="424"/>
      <c r="J90" s="424"/>
      <c r="N90" s="425"/>
      <c r="O90" s="425"/>
      <c r="P90" s="425"/>
      <c r="Q90" s="319"/>
      <c r="R90" s="422"/>
      <c r="S90" s="319"/>
      <c r="T90" s="324"/>
      <c r="U90" s="324"/>
      <c r="V90" s="324"/>
      <c r="W90" s="324"/>
      <c r="X90" s="319"/>
      <c r="Y90" s="319"/>
    </row>
    <row r="91" spans="3:26">
      <c r="C91" s="748" t="s">
        <v>550</v>
      </c>
      <c r="D91" s="749"/>
      <c r="E91" s="749"/>
      <c r="F91" s="749"/>
      <c r="G91" s="749"/>
      <c r="H91" s="749"/>
      <c r="I91" s="749"/>
      <c r="J91" s="749"/>
      <c r="K91" s="749"/>
      <c r="L91" s="749"/>
      <c r="M91" s="749"/>
      <c r="N91" s="749"/>
      <c r="O91" s="749"/>
      <c r="P91" s="749"/>
      <c r="Q91" s="749"/>
      <c r="R91" s="749"/>
      <c r="S91" s="749"/>
      <c r="T91" s="749"/>
      <c r="U91" s="749"/>
      <c r="V91" s="749"/>
      <c r="W91" s="749"/>
      <c r="X91" s="749"/>
      <c r="Y91" s="749"/>
      <c r="Z91" s="750"/>
    </row>
    <row r="92" spans="3:26">
      <c r="C92" s="751"/>
      <c r="D92" s="752"/>
      <c r="E92" s="752"/>
      <c r="F92" s="752"/>
      <c r="G92" s="752"/>
      <c r="H92" s="752"/>
      <c r="I92" s="752"/>
      <c r="J92" s="752"/>
      <c r="K92" s="752"/>
      <c r="L92" s="752"/>
      <c r="M92" s="752"/>
      <c r="N92" s="752"/>
      <c r="O92" s="752"/>
      <c r="P92" s="752"/>
      <c r="Q92" s="752"/>
      <c r="R92" s="752"/>
      <c r="S92" s="752"/>
      <c r="T92" s="752"/>
      <c r="U92" s="752"/>
      <c r="V92" s="752"/>
      <c r="W92" s="752"/>
      <c r="X92" s="752"/>
      <c r="Y92" s="752"/>
      <c r="Z92" s="753"/>
    </row>
    <row r="93" spans="3:26">
      <c r="C93" s="751"/>
      <c r="D93" s="752"/>
      <c r="E93" s="752"/>
      <c r="F93" s="752"/>
      <c r="G93" s="752"/>
      <c r="H93" s="752"/>
      <c r="I93" s="752"/>
      <c r="J93" s="752"/>
      <c r="K93" s="752"/>
      <c r="L93" s="752"/>
      <c r="M93" s="752"/>
      <c r="N93" s="752"/>
      <c r="O93" s="752"/>
      <c r="P93" s="752"/>
      <c r="Q93" s="752"/>
      <c r="R93" s="752"/>
      <c r="S93" s="752"/>
      <c r="T93" s="752"/>
      <c r="U93" s="752"/>
      <c r="V93" s="752"/>
      <c r="W93" s="752"/>
      <c r="X93" s="752"/>
      <c r="Y93" s="752"/>
      <c r="Z93" s="753"/>
    </row>
    <row r="94" spans="3:26">
      <c r="C94" s="751"/>
      <c r="D94" s="752"/>
      <c r="E94" s="752"/>
      <c r="F94" s="752"/>
      <c r="G94" s="752"/>
      <c r="H94" s="752"/>
      <c r="I94" s="752"/>
      <c r="J94" s="752"/>
      <c r="K94" s="752"/>
      <c r="L94" s="752"/>
      <c r="M94" s="752"/>
      <c r="N94" s="752"/>
      <c r="O94" s="752"/>
      <c r="P94" s="752"/>
      <c r="Q94" s="752"/>
      <c r="R94" s="752"/>
      <c r="S94" s="752"/>
      <c r="T94" s="752"/>
      <c r="U94" s="752"/>
      <c r="V94" s="752"/>
      <c r="W94" s="752"/>
      <c r="X94" s="752"/>
      <c r="Y94" s="752"/>
      <c r="Z94" s="753"/>
    </row>
    <row r="95" spans="3:26" ht="6.75" customHeight="1" thickBot="1">
      <c r="C95" s="754"/>
      <c r="D95" s="755"/>
      <c r="E95" s="755"/>
      <c r="F95" s="755"/>
      <c r="G95" s="755"/>
      <c r="H95" s="755"/>
      <c r="I95" s="755"/>
      <c r="J95" s="755"/>
      <c r="K95" s="755"/>
      <c r="L95" s="755"/>
      <c r="M95" s="755"/>
      <c r="N95" s="755"/>
      <c r="O95" s="755"/>
      <c r="P95" s="755"/>
      <c r="Q95" s="755"/>
      <c r="R95" s="755"/>
      <c r="S95" s="755"/>
      <c r="T95" s="755"/>
      <c r="U95" s="755"/>
      <c r="V95" s="755"/>
      <c r="W95" s="755"/>
      <c r="X95" s="755"/>
      <c r="Y95" s="755"/>
      <c r="Z95" s="756"/>
    </row>
    <row r="96" spans="3:26" ht="4.5" customHeight="1">
      <c r="Q96" s="319"/>
      <c r="R96" s="319"/>
      <c r="S96" s="319"/>
      <c r="T96" s="319"/>
      <c r="U96" s="319"/>
      <c r="V96" s="319"/>
      <c r="W96" s="319"/>
      <c r="X96" s="319"/>
      <c r="Y96" s="319"/>
    </row>
    <row r="97" spans="2:25" ht="4.5" customHeight="1">
      <c r="Q97" s="319"/>
      <c r="R97" s="757"/>
      <c r="S97" s="757"/>
      <c r="T97" s="319"/>
      <c r="U97" s="319"/>
      <c r="V97" s="319"/>
      <c r="W97" s="319"/>
      <c r="X97" s="319"/>
      <c r="Y97" s="319"/>
    </row>
    <row r="98" spans="2:25" ht="20.25">
      <c r="B98" s="542" t="s">
        <v>407</v>
      </c>
      <c r="Q98" s="319"/>
      <c r="R98" s="319"/>
      <c r="S98" s="319"/>
      <c r="T98" s="319"/>
      <c r="U98" s="319"/>
      <c r="V98" s="319"/>
      <c r="W98" s="319"/>
      <c r="X98" s="319"/>
      <c r="Y98" s="319"/>
    </row>
    <row r="99" spans="2:25">
      <c r="Q99" s="319"/>
      <c r="R99" s="319"/>
      <c r="S99" s="319"/>
      <c r="T99" s="319"/>
      <c r="U99" s="319"/>
      <c r="V99" s="319"/>
      <c r="W99" s="426"/>
      <c r="X99" s="319"/>
      <c r="Y99" s="319"/>
    </row>
    <row r="100" spans="2:25" ht="13.5" thickBot="1">
      <c r="Q100" s="319"/>
      <c r="R100" s="319"/>
      <c r="S100" s="319"/>
      <c r="T100" s="319"/>
      <c r="U100" s="319"/>
      <c r="V100" s="319"/>
      <c r="W100" s="319"/>
      <c r="X100" s="319"/>
      <c r="Y100" s="319"/>
    </row>
    <row r="101" spans="2:25" ht="18.75" thickBot="1">
      <c r="C101" s="449" t="s">
        <v>2</v>
      </c>
      <c r="E101" s="418" t="s">
        <v>53</v>
      </c>
      <c r="Q101" s="319"/>
      <c r="R101" s="319"/>
      <c r="S101" s="319"/>
      <c r="T101" s="738"/>
      <c r="U101" s="738"/>
      <c r="V101" s="738"/>
      <c r="W101" s="738"/>
      <c r="X101" s="738"/>
      <c r="Y101" s="319"/>
    </row>
    <row r="102" spans="2:25" ht="5.25" customHeight="1" thickBot="1">
      <c r="C102" s="326"/>
      <c r="E102" s="282"/>
      <c r="Q102" s="319"/>
      <c r="R102" s="319"/>
      <c r="S102" s="319"/>
      <c r="T102" s="319"/>
      <c r="U102" s="319"/>
      <c r="V102" s="319"/>
      <c r="W102" s="319"/>
      <c r="X102" s="319"/>
      <c r="Y102" s="319"/>
    </row>
    <row r="103" spans="2:25" ht="18.75" thickBot="1">
      <c r="C103" s="449" t="s">
        <v>2</v>
      </c>
      <c r="E103" s="418" t="s">
        <v>224</v>
      </c>
      <c r="Q103" s="319"/>
      <c r="R103" s="319"/>
      <c r="S103" s="319"/>
      <c r="T103" s="738"/>
      <c r="U103" s="738"/>
      <c r="V103" s="738"/>
      <c r="W103" s="738"/>
      <c r="X103" s="738"/>
      <c r="Y103" s="319"/>
    </row>
    <row r="104" spans="2:25" ht="4.5" customHeight="1" thickBot="1">
      <c r="C104" s="326"/>
      <c r="E104" s="282"/>
      <c r="Q104" s="319"/>
      <c r="R104" s="319"/>
      <c r="S104" s="319"/>
      <c r="T104" s="319"/>
      <c r="U104" s="319"/>
      <c r="V104" s="319"/>
      <c r="W104" s="319"/>
      <c r="X104" s="319"/>
      <c r="Y104" s="319"/>
    </row>
    <row r="105" spans="2:25" ht="18.75" thickBot="1">
      <c r="C105" s="449" t="s">
        <v>2</v>
      </c>
      <c r="E105" s="418" t="s">
        <v>52</v>
      </c>
      <c r="F105" s="414"/>
      <c r="G105" s="414"/>
      <c r="H105" s="414"/>
      <c r="I105" s="414"/>
      <c r="J105" s="414"/>
      <c r="K105" s="414"/>
      <c r="L105" s="414"/>
      <c r="M105" s="414"/>
      <c r="Q105" s="319"/>
      <c r="R105" s="319"/>
      <c r="S105" s="319"/>
      <c r="T105" s="738"/>
      <c r="U105" s="738"/>
      <c r="V105" s="738"/>
      <c r="W105" s="738"/>
      <c r="X105" s="738"/>
      <c r="Y105" s="319"/>
    </row>
    <row r="106" spans="2:25" ht="4.5" customHeight="1" thickBot="1">
      <c r="C106" s="326"/>
      <c r="E106" s="427"/>
      <c r="F106" s="414"/>
      <c r="G106" s="414"/>
      <c r="H106" s="414"/>
      <c r="I106" s="414"/>
      <c r="J106" s="414"/>
      <c r="K106" s="414"/>
      <c r="L106" s="414"/>
      <c r="M106" s="414"/>
      <c r="Q106" s="319"/>
      <c r="R106" s="319"/>
      <c r="S106" s="319"/>
      <c r="T106" s="319"/>
      <c r="U106" s="319"/>
      <c r="V106" s="319"/>
      <c r="W106" s="319"/>
      <c r="X106" s="319"/>
      <c r="Y106" s="319"/>
    </row>
    <row r="107" spans="2:25" ht="18.75" customHeight="1" thickBot="1">
      <c r="C107" s="449" t="s">
        <v>2</v>
      </c>
      <c r="E107" s="418" t="s">
        <v>223</v>
      </c>
      <c r="F107" s="414"/>
      <c r="G107" s="414"/>
      <c r="H107" s="414"/>
      <c r="I107" s="414"/>
      <c r="J107" s="414"/>
      <c r="K107" s="414"/>
      <c r="L107" s="414"/>
      <c r="M107" s="414"/>
      <c r="Q107" s="319"/>
      <c r="R107" s="319"/>
      <c r="S107" s="319"/>
      <c r="T107" s="738"/>
      <c r="U107" s="738"/>
      <c r="V107" s="738"/>
      <c r="W107" s="738"/>
      <c r="X107" s="738"/>
      <c r="Y107" s="428"/>
    </row>
    <row r="108" spans="2:25" ht="4.5" customHeight="1" thickBot="1">
      <c r="C108" s="326"/>
      <c r="E108" s="427"/>
      <c r="F108" s="414"/>
      <c r="G108" s="414"/>
      <c r="H108" s="414"/>
      <c r="I108" s="414"/>
      <c r="J108" s="414"/>
      <c r="K108" s="414"/>
      <c r="L108" s="414"/>
      <c r="M108" s="414"/>
      <c r="Q108" s="319"/>
      <c r="R108" s="319"/>
      <c r="S108" s="319"/>
      <c r="T108" s="319"/>
      <c r="U108" s="319"/>
      <c r="V108" s="319"/>
      <c r="W108" s="319"/>
      <c r="X108" s="319"/>
      <c r="Y108" s="319"/>
    </row>
    <row r="109" spans="2:25" ht="18.75" customHeight="1" thickBot="1">
      <c r="C109" s="449" t="s">
        <v>2</v>
      </c>
      <c r="E109" s="418" t="s">
        <v>51</v>
      </c>
      <c r="F109" s="414"/>
      <c r="G109" s="414"/>
      <c r="H109" s="414"/>
      <c r="I109" s="414"/>
      <c r="J109" s="414"/>
      <c r="K109" s="414"/>
      <c r="L109" s="414"/>
      <c r="M109" s="414"/>
      <c r="Q109" s="319"/>
      <c r="R109" s="319"/>
      <c r="S109" s="319"/>
      <c r="T109" s="738"/>
      <c r="U109" s="738"/>
      <c r="V109" s="738"/>
      <c r="W109" s="738"/>
      <c r="X109" s="738"/>
      <c r="Y109" s="428"/>
    </row>
    <row r="110" spans="2:25" ht="21.75" customHeight="1" thickBot="1">
      <c r="Q110" s="319"/>
      <c r="R110" s="319"/>
      <c r="S110" s="319"/>
      <c r="T110" s="319"/>
      <c r="U110" s="319"/>
      <c r="V110" s="319"/>
      <c r="W110" s="319"/>
      <c r="X110" s="319"/>
      <c r="Y110" s="319"/>
    </row>
    <row r="111" spans="2:25" ht="16.5" customHeight="1" thickBot="1">
      <c r="C111" s="449" t="s">
        <v>2</v>
      </c>
      <c r="E111" s="282" t="s">
        <v>403</v>
      </c>
      <c r="Q111" s="319"/>
      <c r="R111" s="319"/>
      <c r="S111" s="319"/>
      <c r="T111" s="738"/>
      <c r="U111" s="738"/>
      <c r="V111" s="738"/>
      <c r="W111" s="738"/>
      <c r="X111" s="738"/>
      <c r="Y111" s="319"/>
    </row>
    <row r="112" spans="2:25" ht="4.5" customHeight="1" thickBot="1">
      <c r="Q112" s="319"/>
      <c r="R112" s="319"/>
      <c r="S112" s="319"/>
      <c r="T112" s="319"/>
      <c r="U112" s="319"/>
      <c r="V112" s="319"/>
      <c r="W112" s="319"/>
      <c r="X112" s="319"/>
      <c r="Y112" s="319"/>
    </row>
    <row r="113" spans="2:60" ht="16.5" customHeight="1" thickBot="1">
      <c r="C113" s="449" t="s">
        <v>2</v>
      </c>
      <c r="E113" s="814" t="s">
        <v>406</v>
      </c>
      <c r="F113" s="814"/>
      <c r="G113" s="814"/>
      <c r="H113" s="814"/>
      <c r="I113" s="814"/>
      <c r="J113" s="814"/>
      <c r="K113" s="814"/>
      <c r="L113" s="814"/>
      <c r="M113" s="814"/>
      <c r="N113" s="814"/>
      <c r="O113" s="814"/>
      <c r="P113" s="814"/>
      <c r="Q113" s="319"/>
      <c r="R113" s="319"/>
      <c r="S113" s="319"/>
      <c r="T113" s="738"/>
      <c r="U113" s="738"/>
      <c r="V113" s="738"/>
      <c r="W113" s="738"/>
      <c r="X113" s="738"/>
      <c r="Y113" s="319"/>
      <c r="Z113" s="429"/>
    </row>
    <row r="114" spans="2:60" ht="4.5" customHeight="1" thickBot="1">
      <c r="C114" s="430"/>
      <c r="E114" s="282"/>
      <c r="Q114" s="319"/>
      <c r="R114" s="319"/>
      <c r="S114" s="319"/>
      <c r="T114" s="324"/>
      <c r="U114" s="324"/>
      <c r="V114" s="324"/>
      <c r="W114" s="324"/>
      <c r="X114" s="324"/>
      <c r="Y114" s="319"/>
      <c r="Z114" s="429"/>
    </row>
    <row r="115" spans="2:60" ht="16.5" customHeight="1" thickBot="1">
      <c r="C115" s="449" t="s">
        <v>2</v>
      </c>
      <c r="E115" s="282" t="s">
        <v>404</v>
      </c>
      <c r="Q115" s="319"/>
      <c r="R115" s="319"/>
      <c r="S115" s="319"/>
      <c r="T115" s="738"/>
      <c r="U115" s="738"/>
      <c r="V115" s="738"/>
      <c r="W115" s="738"/>
      <c r="X115" s="738"/>
      <c r="Y115" s="319"/>
    </row>
    <row r="116" spans="2:60" ht="4.5" customHeight="1">
      <c r="C116" s="431"/>
      <c r="D116" s="432"/>
      <c r="E116" s="432"/>
      <c r="F116" s="432"/>
      <c r="G116" s="432"/>
      <c r="H116" s="432"/>
      <c r="I116" s="432"/>
      <c r="J116" s="432"/>
      <c r="K116" s="432"/>
      <c r="L116" s="432"/>
      <c r="M116" s="432"/>
      <c r="N116" s="432"/>
      <c r="O116" s="432"/>
      <c r="P116" s="432"/>
      <c r="Q116" s="433"/>
      <c r="R116" s="433"/>
      <c r="S116" s="433"/>
      <c r="T116" s="324"/>
      <c r="U116" s="324"/>
      <c r="V116" s="324"/>
      <c r="W116" s="324"/>
      <c r="X116" s="324"/>
      <c r="Y116" s="319"/>
      <c r="Z116" s="429"/>
    </row>
    <row r="117" spans="2:60" ht="16.5" hidden="1" customHeight="1" thickBot="1">
      <c r="C117" s="449" t="s">
        <v>504</v>
      </c>
      <c r="E117" s="282" t="s">
        <v>405</v>
      </c>
      <c r="Q117" s="319"/>
      <c r="R117" s="319"/>
      <c r="S117" s="319"/>
      <c r="T117" s="738"/>
      <c r="U117" s="738"/>
      <c r="V117" s="738"/>
      <c r="W117" s="738"/>
      <c r="X117" s="738"/>
      <c r="Y117" s="319"/>
    </row>
    <row r="118" spans="2:60" ht="4.5" customHeight="1">
      <c r="C118" s="431"/>
      <c r="D118" s="432"/>
      <c r="E118" s="432"/>
      <c r="F118" s="432"/>
      <c r="G118" s="432"/>
      <c r="H118" s="432"/>
      <c r="I118" s="432"/>
      <c r="J118" s="432"/>
      <c r="K118" s="432"/>
      <c r="L118" s="432"/>
      <c r="M118" s="432"/>
      <c r="N118" s="432"/>
      <c r="O118" s="432"/>
      <c r="P118" s="432"/>
      <c r="Q118" s="433"/>
      <c r="R118" s="433"/>
      <c r="S118" s="433"/>
      <c r="T118" s="324"/>
      <c r="U118" s="324"/>
      <c r="V118" s="324"/>
      <c r="W118" s="324"/>
      <c r="X118" s="324"/>
      <c r="Y118" s="319"/>
      <c r="Z118" s="429"/>
    </row>
    <row r="119" spans="2:60" ht="6" customHeight="1">
      <c r="B119" s="358"/>
    </row>
    <row r="120" spans="2:60" ht="6" customHeight="1"/>
    <row r="121" spans="2:60" hidden="1"/>
    <row r="122" spans="2:60" ht="3" customHeight="1" thickBot="1"/>
    <row r="123" spans="2:60" s="256" customFormat="1">
      <c r="B123" s="762" t="s">
        <v>508</v>
      </c>
      <c r="C123" s="763"/>
      <c r="D123" s="763"/>
      <c r="E123" s="763"/>
      <c r="F123" s="763"/>
      <c r="G123" s="763"/>
      <c r="H123" s="763"/>
      <c r="I123" s="763"/>
      <c r="J123" s="763"/>
      <c r="K123" s="763"/>
      <c r="L123" s="763"/>
      <c r="M123" s="763"/>
      <c r="N123" s="763"/>
      <c r="O123" s="763"/>
      <c r="P123" s="763"/>
      <c r="Q123" s="763"/>
      <c r="R123" s="763"/>
      <c r="S123" s="763"/>
      <c r="T123" s="763"/>
      <c r="U123" s="763"/>
      <c r="V123" s="763"/>
      <c r="W123" s="763"/>
      <c r="X123" s="763"/>
      <c r="Y123" s="763"/>
      <c r="Z123" s="764"/>
      <c r="AB123" s="461"/>
      <c r="AC123" s="461"/>
      <c r="AD123" s="461"/>
      <c r="AE123" s="461"/>
      <c r="AF123" s="461"/>
      <c r="AG123" s="319"/>
      <c r="AH123" s="319"/>
      <c r="AI123" s="319"/>
      <c r="AJ123" s="319"/>
      <c r="AK123" s="319"/>
      <c r="AL123" s="319"/>
      <c r="AM123" s="319"/>
      <c r="AN123" s="319"/>
      <c r="AO123" s="319"/>
      <c r="AP123" s="319"/>
      <c r="AQ123" s="319"/>
      <c r="AR123" s="319"/>
      <c r="AS123" s="319"/>
      <c r="AT123" s="319"/>
      <c r="AU123" s="319"/>
      <c r="AV123" s="319"/>
      <c r="AW123" s="319"/>
      <c r="AX123" s="319"/>
      <c r="AY123" s="319"/>
      <c r="AZ123" s="319"/>
      <c r="BA123" s="319"/>
      <c r="BB123" s="319"/>
      <c r="BC123" s="319"/>
      <c r="BD123" s="319"/>
      <c r="BE123" s="319"/>
      <c r="BF123" s="319"/>
      <c r="BG123" s="319"/>
      <c r="BH123" s="319"/>
    </row>
    <row r="124" spans="2:60" s="256" customFormat="1">
      <c r="B124" s="765"/>
      <c r="C124" s="766"/>
      <c r="D124" s="766"/>
      <c r="E124" s="766"/>
      <c r="F124" s="766"/>
      <c r="G124" s="766"/>
      <c r="H124" s="766"/>
      <c r="I124" s="766"/>
      <c r="J124" s="766"/>
      <c r="K124" s="766"/>
      <c r="L124" s="766"/>
      <c r="M124" s="766"/>
      <c r="N124" s="766"/>
      <c r="O124" s="766"/>
      <c r="P124" s="766"/>
      <c r="Q124" s="766"/>
      <c r="R124" s="766"/>
      <c r="S124" s="766"/>
      <c r="T124" s="766"/>
      <c r="U124" s="766"/>
      <c r="V124" s="766"/>
      <c r="W124" s="766"/>
      <c r="X124" s="766"/>
      <c r="Y124" s="766"/>
      <c r="Z124" s="767"/>
      <c r="AB124" s="461"/>
      <c r="AC124" s="461"/>
      <c r="AD124" s="461"/>
      <c r="AE124" s="461"/>
      <c r="AF124" s="461"/>
      <c r="AG124" s="319"/>
      <c r="AH124" s="319"/>
      <c r="AI124" s="319"/>
      <c r="AJ124" s="319"/>
      <c r="AK124" s="319"/>
      <c r="AL124" s="319"/>
      <c r="AM124" s="319"/>
      <c r="AN124" s="319"/>
      <c r="AO124" s="319"/>
      <c r="AP124" s="319"/>
      <c r="AQ124" s="319"/>
      <c r="AR124" s="319"/>
      <c r="AS124" s="319"/>
      <c r="AT124" s="319"/>
      <c r="AU124" s="319"/>
      <c r="AV124" s="319"/>
      <c r="AW124" s="319"/>
      <c r="AX124" s="319"/>
      <c r="AY124" s="319"/>
      <c r="AZ124" s="319"/>
      <c r="BA124" s="319"/>
      <c r="BB124" s="319"/>
      <c r="BC124" s="319"/>
      <c r="BD124" s="319"/>
      <c r="BE124" s="319"/>
      <c r="BF124" s="319"/>
      <c r="BG124" s="319"/>
      <c r="BH124" s="319"/>
    </row>
    <row r="125" spans="2:60" s="256" customFormat="1" ht="19.5" customHeight="1" thickBot="1">
      <c r="B125" s="768"/>
      <c r="C125" s="769"/>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70"/>
      <c r="AB125" s="461"/>
      <c r="AC125" s="461"/>
      <c r="AD125" s="461"/>
      <c r="AE125" s="461"/>
      <c r="AF125" s="461"/>
      <c r="AG125" s="319"/>
      <c r="AH125" s="319"/>
      <c r="AI125" s="319"/>
      <c r="AJ125" s="319"/>
      <c r="AK125" s="319"/>
      <c r="AL125" s="319"/>
      <c r="AM125" s="319"/>
      <c r="AN125" s="319"/>
      <c r="AO125" s="319"/>
      <c r="AP125" s="319"/>
      <c r="AQ125" s="319"/>
      <c r="AR125" s="319"/>
      <c r="AS125" s="319"/>
      <c r="AT125" s="319"/>
      <c r="AU125" s="319"/>
      <c r="AV125" s="319"/>
      <c r="AW125" s="319"/>
      <c r="AX125" s="319"/>
      <c r="AY125" s="319"/>
      <c r="AZ125" s="319"/>
      <c r="BA125" s="319"/>
      <c r="BB125" s="319"/>
      <c r="BC125" s="319"/>
      <c r="BD125" s="319"/>
      <c r="BE125" s="319"/>
      <c r="BF125" s="319"/>
      <c r="BG125" s="319"/>
      <c r="BH125" s="319"/>
    </row>
    <row r="126" spans="2:60" s="256" customFormat="1" ht="13.5" thickBot="1">
      <c r="AB126" s="461"/>
      <c r="AC126" s="461"/>
      <c r="AD126" s="461"/>
      <c r="AE126" s="461"/>
      <c r="AF126" s="461"/>
      <c r="AG126" s="319"/>
      <c r="AH126" s="319"/>
      <c r="AI126" s="319"/>
      <c r="AJ126" s="319"/>
      <c r="AK126" s="319"/>
      <c r="AL126" s="319"/>
      <c r="AM126" s="319"/>
      <c r="AN126" s="319"/>
      <c r="AO126" s="319"/>
      <c r="AP126" s="319"/>
      <c r="AQ126" s="319"/>
      <c r="AR126" s="319"/>
      <c r="AS126" s="319"/>
      <c r="AT126" s="319"/>
      <c r="AU126" s="319"/>
      <c r="AV126" s="319"/>
      <c r="AW126" s="319"/>
      <c r="AX126" s="319"/>
      <c r="AY126" s="319"/>
      <c r="AZ126" s="319"/>
      <c r="BA126" s="319"/>
      <c r="BB126" s="319"/>
      <c r="BC126" s="319"/>
      <c r="BD126" s="319"/>
      <c r="BE126" s="319"/>
      <c r="BF126" s="319"/>
      <c r="BG126" s="319"/>
      <c r="BH126" s="319"/>
    </row>
    <row r="127" spans="2:60" s="256" customFormat="1" ht="145.15" customHeight="1" thickBot="1">
      <c r="B127" s="771" t="s">
        <v>580</v>
      </c>
      <c r="C127" s="772"/>
      <c r="D127" s="772"/>
      <c r="E127" s="772"/>
      <c r="F127" s="772"/>
      <c r="G127" s="772"/>
      <c r="H127" s="772"/>
      <c r="I127" s="772"/>
      <c r="J127" s="772"/>
      <c r="K127" s="772"/>
      <c r="L127" s="772"/>
      <c r="M127" s="772"/>
      <c r="N127" s="772"/>
      <c r="O127" s="772"/>
      <c r="P127" s="772"/>
      <c r="Q127" s="772"/>
      <c r="R127" s="772"/>
      <c r="S127" s="772"/>
      <c r="T127" s="772"/>
      <c r="U127" s="772"/>
      <c r="V127" s="772"/>
      <c r="W127" s="772"/>
      <c r="X127" s="772"/>
      <c r="Y127" s="772"/>
      <c r="Z127" s="773"/>
      <c r="AB127" s="461"/>
      <c r="AC127" s="461"/>
      <c r="AD127" s="461"/>
      <c r="AE127" s="461"/>
      <c r="AF127" s="461"/>
      <c r="AG127" s="319"/>
      <c r="AH127" s="319"/>
      <c r="AI127" s="319"/>
      <c r="AJ127" s="319"/>
      <c r="AK127" s="319"/>
      <c r="AL127" s="319"/>
      <c r="AM127" s="319"/>
      <c r="AN127" s="319"/>
      <c r="AO127" s="319"/>
      <c r="AP127" s="319"/>
      <c r="AQ127" s="319"/>
      <c r="AR127" s="319"/>
      <c r="AS127" s="319"/>
      <c r="AT127" s="319"/>
      <c r="AU127" s="319"/>
      <c r="AV127" s="319"/>
      <c r="AW127" s="319"/>
      <c r="AX127" s="319"/>
      <c r="AY127" s="319"/>
      <c r="AZ127" s="319"/>
      <c r="BA127" s="319"/>
      <c r="BB127" s="319"/>
      <c r="BC127" s="319"/>
      <c r="BD127" s="319"/>
      <c r="BE127" s="319"/>
      <c r="BF127" s="319"/>
      <c r="BG127" s="319"/>
      <c r="BH127" s="319"/>
    </row>
    <row r="128" spans="2:60" s="256" customFormat="1">
      <c r="AB128" s="461"/>
      <c r="AC128" s="461"/>
      <c r="AD128" s="461"/>
      <c r="AE128" s="461"/>
      <c r="AF128" s="461"/>
      <c r="AG128" s="319"/>
      <c r="AH128" s="319"/>
      <c r="AI128" s="319"/>
      <c r="AJ128" s="319"/>
      <c r="AK128" s="319"/>
      <c r="AL128" s="319"/>
      <c r="AM128" s="319"/>
      <c r="AN128" s="319"/>
      <c r="AO128" s="319"/>
      <c r="AP128" s="319"/>
      <c r="AQ128" s="319"/>
      <c r="AR128" s="319"/>
      <c r="AS128" s="319"/>
      <c r="AT128" s="319"/>
      <c r="AU128" s="319"/>
      <c r="AV128" s="319"/>
      <c r="AW128" s="319"/>
      <c r="AX128" s="319"/>
      <c r="AY128" s="319"/>
      <c r="AZ128" s="319"/>
      <c r="BA128" s="319"/>
      <c r="BB128" s="319"/>
      <c r="BC128" s="319"/>
      <c r="BD128" s="319"/>
      <c r="BE128" s="319"/>
      <c r="BF128" s="319"/>
      <c r="BG128" s="319"/>
      <c r="BH128" s="319"/>
    </row>
    <row r="129" spans="2:60" ht="16.5" hidden="1" customHeight="1">
      <c r="C129" s="430"/>
      <c r="E129" s="282"/>
      <c r="Q129" s="319"/>
      <c r="R129" s="319"/>
      <c r="S129" s="319"/>
      <c r="T129" s="324"/>
      <c r="U129" s="324"/>
      <c r="V129" s="324"/>
      <c r="W129" s="324"/>
      <c r="X129" s="324"/>
      <c r="Y129" s="319"/>
      <c r="Z129" s="429"/>
    </row>
    <row r="130" spans="2:60" s="256" customFormat="1" ht="3.75" customHeight="1">
      <c r="AB130" s="461"/>
      <c r="AC130" s="461"/>
      <c r="AD130" s="461"/>
      <c r="AE130" s="461"/>
      <c r="AF130" s="461"/>
      <c r="AG130" s="319"/>
      <c r="AH130" s="319"/>
      <c r="AI130" s="319"/>
      <c r="AJ130" s="319"/>
      <c r="AK130" s="319"/>
      <c r="AL130" s="319"/>
      <c r="AM130" s="319"/>
      <c r="AN130" s="319"/>
      <c r="AO130" s="319"/>
      <c r="AP130" s="319"/>
      <c r="AQ130" s="319"/>
      <c r="AR130" s="319"/>
      <c r="AS130" s="319"/>
      <c r="AT130" s="319"/>
      <c r="AU130" s="319"/>
      <c r="AV130" s="319"/>
      <c r="AW130" s="319"/>
      <c r="AX130" s="319"/>
      <c r="AY130" s="319"/>
      <c r="AZ130" s="319"/>
      <c r="BA130" s="319"/>
      <c r="BB130" s="319"/>
      <c r="BC130" s="319"/>
      <c r="BD130" s="319"/>
      <c r="BE130" s="319"/>
      <c r="BF130" s="319"/>
      <c r="BG130" s="319"/>
      <c r="BH130" s="319"/>
    </row>
    <row r="131" spans="2:60" s="256" customFormat="1" ht="15.75">
      <c r="B131" s="452" t="s">
        <v>361</v>
      </c>
      <c r="AA131" s="397"/>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2"/>
      <c r="AY131" s="342"/>
      <c r="AZ131" s="342"/>
      <c r="BA131" s="342"/>
      <c r="BB131" s="342"/>
      <c r="BC131" s="342"/>
      <c r="BD131" s="342"/>
      <c r="BE131" s="342"/>
      <c r="BF131" s="342"/>
      <c r="BG131" s="342"/>
      <c r="BH131" s="342"/>
    </row>
    <row r="132" spans="2:60" s="256" customFormat="1" ht="6" customHeight="1">
      <c r="AA132" s="397"/>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2"/>
      <c r="AY132" s="342"/>
      <c r="AZ132" s="342"/>
      <c r="BA132" s="342"/>
      <c r="BB132" s="342"/>
      <c r="BC132" s="342"/>
      <c r="BD132" s="342"/>
      <c r="BE132" s="342"/>
      <c r="BF132" s="342"/>
      <c r="BG132" s="342"/>
      <c r="BH132" s="342"/>
    </row>
    <row r="133" spans="2:60" s="256" customFormat="1" ht="17.25" customHeight="1">
      <c r="C133" s="745" t="s">
        <v>362</v>
      </c>
      <c r="D133" s="745"/>
      <c r="E133" s="745"/>
      <c r="F133" s="745"/>
      <c r="G133" s="745"/>
      <c r="H133" s="745"/>
      <c r="I133" s="745"/>
      <c r="K133" s="742" t="s">
        <v>2</v>
      </c>
      <c r="L133" s="743"/>
      <c r="M133" s="743"/>
      <c r="N133" s="743"/>
      <c r="O133" s="743"/>
      <c r="P133" s="743"/>
      <c r="Q133" s="743"/>
      <c r="R133" s="743"/>
      <c r="S133" s="743"/>
      <c r="T133" s="743"/>
      <c r="U133" s="743"/>
      <c r="V133" s="743"/>
      <c r="W133" s="743"/>
      <c r="X133" s="743"/>
      <c r="Y133" s="743"/>
      <c r="Z133" s="744"/>
      <c r="AA133" s="397"/>
      <c r="AB133" s="342"/>
      <c r="AC133" s="342"/>
      <c r="AD133" s="342"/>
      <c r="AE133" s="342"/>
      <c r="AF133" s="342"/>
      <c r="AG133" s="342"/>
      <c r="AH133" s="342"/>
      <c r="AI133" s="342"/>
      <c r="AJ133" s="342"/>
      <c r="AK133" s="342"/>
      <c r="AL133" s="342"/>
      <c r="AM133" s="342"/>
      <c r="AN133" s="342"/>
      <c r="AO133" s="342"/>
      <c r="AP133" s="342"/>
      <c r="AQ133" s="342"/>
      <c r="AR133" s="342"/>
      <c r="AS133" s="342"/>
      <c r="AT133" s="342"/>
      <c r="AU133" s="342"/>
      <c r="AV133" s="342"/>
      <c r="AW133" s="342"/>
      <c r="AX133" s="342"/>
      <c r="AY133" s="342"/>
      <c r="AZ133" s="342"/>
      <c r="BA133" s="342"/>
      <c r="BB133" s="342"/>
      <c r="BC133" s="342"/>
      <c r="BD133" s="342"/>
      <c r="BE133" s="342"/>
      <c r="BF133" s="342"/>
      <c r="BG133" s="342"/>
      <c r="BH133" s="342"/>
    </row>
    <row r="134" spans="2:60" s="256" customFormat="1" ht="15" customHeight="1">
      <c r="C134" s="745" t="s">
        <v>363</v>
      </c>
      <c r="D134" s="745"/>
      <c r="E134" s="745"/>
      <c r="F134" s="745"/>
      <c r="G134" s="745"/>
      <c r="H134" s="745"/>
      <c r="I134" s="745"/>
      <c r="K134" s="742" t="s">
        <v>2</v>
      </c>
      <c r="L134" s="759"/>
      <c r="M134" s="759"/>
      <c r="N134" s="759"/>
      <c r="O134" s="759"/>
      <c r="P134" s="759"/>
      <c r="Q134" s="759"/>
      <c r="R134" s="759"/>
      <c r="S134" s="759"/>
      <c r="T134" s="759"/>
      <c r="U134" s="759"/>
      <c r="V134" s="759"/>
      <c r="W134" s="759"/>
      <c r="X134" s="759"/>
      <c r="Y134" s="759"/>
      <c r="Z134" s="760"/>
      <c r="AA134" s="397"/>
      <c r="AB134" s="342"/>
      <c r="AC134" s="342"/>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2"/>
      <c r="AY134" s="342"/>
      <c r="AZ134" s="342"/>
      <c r="BA134" s="342"/>
      <c r="BB134" s="342"/>
      <c r="BC134" s="342"/>
      <c r="BD134" s="342"/>
      <c r="BE134" s="342"/>
      <c r="BF134" s="342"/>
      <c r="BG134" s="342"/>
      <c r="BH134" s="342"/>
    </row>
    <row r="135" spans="2:60" s="256" customFormat="1" ht="15" customHeight="1">
      <c r="C135" s="745" t="s">
        <v>364</v>
      </c>
      <c r="D135" s="745"/>
      <c r="E135" s="745"/>
      <c r="F135" s="745"/>
      <c r="G135" s="745"/>
      <c r="H135" s="745"/>
      <c r="I135" s="745"/>
      <c r="K135" s="742" t="s">
        <v>2</v>
      </c>
      <c r="L135" s="743"/>
      <c r="M135" s="743"/>
      <c r="N135" s="743"/>
      <c r="O135" s="743"/>
      <c r="P135" s="743"/>
      <c r="Q135" s="743"/>
      <c r="R135" s="743"/>
      <c r="S135" s="743"/>
      <c r="T135" s="743"/>
      <c r="U135" s="743"/>
      <c r="V135" s="743"/>
      <c r="W135" s="743"/>
      <c r="X135" s="743"/>
      <c r="Y135" s="743"/>
      <c r="Z135" s="744"/>
      <c r="AA135" s="397"/>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2"/>
      <c r="AY135" s="342"/>
      <c r="AZ135" s="342"/>
      <c r="BA135" s="342"/>
      <c r="BB135" s="342"/>
      <c r="BC135" s="342"/>
      <c r="BD135" s="342"/>
      <c r="BE135" s="342"/>
      <c r="BF135" s="342"/>
      <c r="BG135" s="342"/>
      <c r="BH135" s="342"/>
    </row>
    <row r="136" spans="2:60" s="256" customFormat="1" ht="13.5" customHeight="1">
      <c r="C136" s="745" t="s">
        <v>365</v>
      </c>
      <c r="D136" s="745"/>
      <c r="E136" s="745"/>
      <c r="F136" s="745"/>
      <c r="G136" s="745"/>
      <c r="H136" s="745"/>
      <c r="I136" s="745"/>
      <c r="K136" s="742" t="s">
        <v>2</v>
      </c>
      <c r="L136" s="743"/>
      <c r="M136" s="743"/>
      <c r="N136" s="743"/>
      <c r="O136" s="743"/>
      <c r="P136" s="743"/>
      <c r="Q136" s="743"/>
      <c r="R136" s="743"/>
      <c r="S136" s="743"/>
      <c r="T136" s="743"/>
      <c r="U136" s="743"/>
      <c r="V136" s="743"/>
      <c r="W136" s="743"/>
      <c r="X136" s="743"/>
      <c r="Y136" s="743"/>
      <c r="Z136" s="744"/>
      <c r="AA136" s="397"/>
      <c r="AB136" s="342"/>
      <c r="AC136" s="342"/>
      <c r="AD136" s="342"/>
      <c r="AE136" s="342"/>
      <c r="AF136" s="342"/>
      <c r="AG136" s="342"/>
      <c r="AH136" s="342"/>
      <c r="AI136" s="342"/>
      <c r="AJ136" s="342"/>
      <c r="AK136" s="342"/>
      <c r="AL136" s="342"/>
      <c r="AM136" s="342"/>
      <c r="AN136" s="342"/>
      <c r="AO136" s="342"/>
      <c r="AP136" s="342"/>
      <c r="AQ136" s="342"/>
      <c r="AR136" s="342"/>
      <c r="AS136" s="342"/>
      <c r="AT136" s="342"/>
      <c r="AU136" s="342"/>
      <c r="AV136" s="342"/>
      <c r="AW136" s="342"/>
      <c r="AX136" s="342"/>
      <c r="AY136" s="342"/>
      <c r="AZ136" s="342"/>
      <c r="BA136" s="342"/>
      <c r="BB136" s="342"/>
      <c r="BC136" s="342"/>
      <c r="BD136" s="342"/>
      <c r="BE136" s="342"/>
      <c r="BF136" s="342"/>
      <c r="BG136" s="342"/>
      <c r="BH136" s="342"/>
    </row>
    <row r="137" spans="2:60" s="256" customFormat="1" ht="15" hidden="1" customHeight="1">
      <c r="C137" s="745" t="s">
        <v>2</v>
      </c>
      <c r="D137" s="745"/>
      <c r="E137" s="745"/>
      <c r="F137" s="745"/>
      <c r="G137" s="745"/>
      <c r="H137" s="745"/>
      <c r="I137" s="745"/>
      <c r="K137" s="761" t="s">
        <v>2</v>
      </c>
      <c r="L137" s="743"/>
      <c r="M137" s="743"/>
      <c r="N137" s="743"/>
      <c r="O137" s="743"/>
      <c r="P137" s="743"/>
      <c r="Q137" s="743"/>
      <c r="R137" s="743"/>
      <c r="S137" s="743"/>
      <c r="T137" s="743"/>
      <c r="U137" s="743"/>
      <c r="V137" s="743"/>
      <c r="W137" s="743"/>
      <c r="X137" s="743"/>
      <c r="Y137" s="743"/>
      <c r="Z137" s="744"/>
      <c r="AA137" s="397"/>
      <c r="AB137" s="342"/>
      <c r="AC137" s="342"/>
      <c r="AD137" s="342"/>
      <c r="AE137" s="342"/>
      <c r="AF137" s="342"/>
      <c r="AG137" s="342"/>
      <c r="AH137" s="342"/>
      <c r="AI137" s="342"/>
      <c r="AJ137" s="342"/>
      <c r="AK137" s="342"/>
      <c r="AL137" s="342"/>
      <c r="AM137" s="342"/>
      <c r="AN137" s="342"/>
      <c r="AO137" s="342"/>
      <c r="AP137" s="342"/>
      <c r="AQ137" s="342"/>
      <c r="AR137" s="342"/>
      <c r="AS137" s="342"/>
      <c r="AT137" s="342"/>
      <c r="AU137" s="342"/>
      <c r="AV137" s="342"/>
      <c r="AW137" s="342"/>
      <c r="AX137" s="342"/>
      <c r="AY137" s="342"/>
      <c r="AZ137" s="342"/>
      <c r="BA137" s="342"/>
      <c r="BB137" s="342"/>
      <c r="BC137" s="342"/>
      <c r="BD137" s="342"/>
      <c r="BE137" s="342"/>
      <c r="BF137" s="342"/>
      <c r="BG137" s="342"/>
      <c r="BH137" s="342"/>
    </row>
    <row r="138" spans="2:60" s="256" customFormat="1" ht="15.75" customHeight="1">
      <c r="C138" s="745" t="s">
        <v>366</v>
      </c>
      <c r="D138" s="745"/>
      <c r="E138" s="745"/>
      <c r="F138" s="745"/>
      <c r="G138" s="745"/>
      <c r="H138" s="745"/>
      <c r="I138" s="745"/>
      <c r="K138" s="742" t="s">
        <v>2</v>
      </c>
      <c r="L138" s="743"/>
      <c r="M138" s="743"/>
      <c r="N138" s="743"/>
      <c r="O138" s="743"/>
      <c r="P138" s="743"/>
      <c r="Q138" s="743"/>
      <c r="R138" s="743"/>
      <c r="S138" s="743"/>
      <c r="T138" s="743"/>
      <c r="U138" s="743"/>
      <c r="V138" s="743"/>
      <c r="W138" s="743"/>
      <c r="X138" s="743"/>
      <c r="Y138" s="743"/>
      <c r="Z138" s="744"/>
      <c r="AA138" s="397"/>
      <c r="AB138" s="342"/>
      <c r="AC138" s="342"/>
      <c r="AD138" s="342"/>
      <c r="AE138" s="342"/>
      <c r="AF138" s="342"/>
      <c r="AG138" s="342"/>
      <c r="AH138" s="342"/>
      <c r="AI138" s="342"/>
      <c r="AJ138" s="342"/>
      <c r="AK138" s="342"/>
      <c r="AL138" s="342"/>
      <c r="AM138" s="342"/>
      <c r="AN138" s="342"/>
      <c r="AO138" s="342"/>
      <c r="AP138" s="342"/>
      <c r="AQ138" s="342"/>
      <c r="AR138" s="342"/>
      <c r="AS138" s="342"/>
      <c r="AT138" s="342"/>
      <c r="AU138" s="342"/>
      <c r="AV138" s="342"/>
      <c r="AW138" s="342"/>
      <c r="AX138" s="342"/>
      <c r="AY138" s="342"/>
      <c r="AZ138" s="342"/>
      <c r="BA138" s="342"/>
      <c r="BB138" s="342"/>
      <c r="BC138" s="342"/>
      <c r="BD138" s="342"/>
      <c r="BE138" s="342"/>
      <c r="BF138" s="342"/>
      <c r="BG138" s="342"/>
      <c r="BH138" s="342"/>
    </row>
    <row r="139" spans="2:60" s="256" customFormat="1" ht="15" customHeight="1">
      <c r="C139" s="758" t="s">
        <v>509</v>
      </c>
      <c r="D139" s="758"/>
      <c r="E139" s="758"/>
      <c r="F139" s="758"/>
      <c r="G139" s="758"/>
      <c r="H139" s="758"/>
      <c r="I139" s="758"/>
      <c r="K139" s="742" t="s">
        <v>2</v>
      </c>
      <c r="L139" s="759"/>
      <c r="M139" s="759"/>
      <c r="N139" s="759"/>
      <c r="O139" s="759"/>
      <c r="P139" s="759"/>
      <c r="Q139" s="759"/>
      <c r="R139" s="759"/>
      <c r="S139" s="759"/>
      <c r="T139" s="759"/>
      <c r="U139" s="759"/>
      <c r="V139" s="759"/>
      <c r="W139" s="759"/>
      <c r="X139" s="759"/>
      <c r="Y139" s="759"/>
      <c r="Z139" s="760"/>
      <c r="AA139" s="397"/>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2"/>
      <c r="AY139" s="342"/>
      <c r="AZ139" s="342"/>
      <c r="BA139" s="342"/>
      <c r="BB139" s="342"/>
      <c r="BC139" s="342"/>
      <c r="BD139" s="342"/>
      <c r="BE139" s="342"/>
      <c r="BF139" s="342"/>
      <c r="BG139" s="342"/>
      <c r="BH139" s="342"/>
    </row>
    <row r="140" spans="2:60" s="256" customFormat="1" ht="15" customHeight="1">
      <c r="C140" s="883" t="s">
        <v>510</v>
      </c>
      <c r="D140" s="883"/>
      <c r="E140" s="883"/>
      <c r="F140" s="883"/>
      <c r="G140" s="883"/>
      <c r="H140" s="883"/>
      <c r="I140" s="883"/>
      <c r="K140" s="742" t="s">
        <v>2</v>
      </c>
      <c r="L140" s="759"/>
      <c r="M140" s="759"/>
      <c r="N140" s="759"/>
      <c r="O140" s="759"/>
      <c r="P140" s="759"/>
      <c r="Q140" s="759"/>
      <c r="R140" s="759"/>
      <c r="S140" s="759"/>
      <c r="T140" s="759"/>
      <c r="U140" s="759"/>
      <c r="V140" s="759"/>
      <c r="W140" s="759"/>
      <c r="X140" s="759"/>
      <c r="Y140" s="759"/>
      <c r="Z140" s="760"/>
      <c r="AA140" s="397"/>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c r="AW140" s="342"/>
      <c r="AX140" s="342"/>
      <c r="AY140" s="342"/>
      <c r="AZ140" s="342"/>
      <c r="BA140" s="342"/>
      <c r="BB140" s="342"/>
      <c r="BC140" s="342"/>
      <c r="BD140" s="342"/>
      <c r="BE140" s="342"/>
      <c r="BF140" s="342"/>
      <c r="BG140" s="342"/>
      <c r="BH140" s="342"/>
    </row>
    <row r="141" spans="2:60" s="635" customFormat="1" ht="15" customHeight="1">
      <c r="C141" s="758" t="s">
        <v>367</v>
      </c>
      <c r="D141" s="758"/>
      <c r="E141" s="758"/>
      <c r="F141" s="758"/>
      <c r="G141" s="758"/>
      <c r="H141" s="758"/>
      <c r="I141" s="758"/>
      <c r="K141" s="742" t="s">
        <v>2</v>
      </c>
      <c r="L141" s="743"/>
      <c r="M141" s="743"/>
      <c r="N141" s="743"/>
      <c r="O141" s="743"/>
      <c r="P141" s="743"/>
      <c r="Q141" s="743"/>
      <c r="R141" s="743"/>
      <c r="S141" s="743"/>
      <c r="T141" s="743"/>
      <c r="U141" s="743"/>
      <c r="V141" s="743"/>
      <c r="W141" s="743"/>
      <c r="X141" s="743"/>
      <c r="Y141" s="743"/>
      <c r="Z141" s="744"/>
      <c r="AA141" s="640"/>
      <c r="AB141" s="639"/>
      <c r="AC141" s="639"/>
      <c r="AD141" s="639"/>
      <c r="AE141" s="639"/>
      <c r="AF141" s="639"/>
      <c r="AG141" s="639"/>
      <c r="AH141" s="639"/>
      <c r="AI141" s="639"/>
      <c r="AJ141" s="639"/>
      <c r="AK141" s="639"/>
      <c r="AL141" s="639"/>
      <c r="AM141" s="639"/>
      <c r="AN141" s="639"/>
      <c r="AO141" s="639"/>
      <c r="AP141" s="639"/>
      <c r="AQ141" s="639"/>
      <c r="AR141" s="639"/>
      <c r="AS141" s="639"/>
      <c r="AT141" s="639"/>
      <c r="AU141" s="639"/>
      <c r="AV141" s="639"/>
      <c r="AW141" s="639"/>
      <c r="AX141" s="639"/>
      <c r="AY141" s="639"/>
      <c r="AZ141" s="639"/>
      <c r="BA141" s="639"/>
      <c r="BB141" s="639"/>
      <c r="BC141" s="639"/>
      <c r="BD141" s="639"/>
      <c r="BE141" s="639"/>
      <c r="BF141" s="639"/>
      <c r="BG141" s="639"/>
      <c r="BH141" s="639"/>
    </row>
    <row r="142" spans="2:60" s="256" customFormat="1" ht="69" customHeight="1">
      <c r="C142" s="880" t="s">
        <v>643</v>
      </c>
      <c r="D142" s="881"/>
      <c r="E142" s="881"/>
      <c r="F142" s="881"/>
      <c r="G142" s="881"/>
      <c r="H142" s="881"/>
      <c r="I142" s="882"/>
      <c r="K142" s="742" t="s">
        <v>2</v>
      </c>
      <c r="L142" s="743"/>
      <c r="M142" s="743"/>
      <c r="N142" s="743"/>
      <c r="O142" s="743"/>
      <c r="P142" s="743"/>
      <c r="Q142" s="743"/>
      <c r="R142" s="743"/>
      <c r="S142" s="743"/>
      <c r="T142" s="743"/>
      <c r="U142" s="743"/>
      <c r="V142" s="743"/>
      <c r="W142" s="743"/>
      <c r="X142" s="743"/>
      <c r="Y142" s="743"/>
      <c r="Z142" s="744"/>
      <c r="AA142" s="397"/>
      <c r="AB142" s="342"/>
      <c r="AC142" s="342"/>
      <c r="AD142" s="342"/>
      <c r="AE142" s="342"/>
      <c r="AF142" s="342"/>
      <c r="AG142" s="342"/>
      <c r="AH142" s="342"/>
      <c r="AI142" s="342"/>
      <c r="AJ142" s="342"/>
      <c r="AK142" s="342"/>
      <c r="AL142" s="342"/>
      <c r="AM142" s="342"/>
      <c r="AN142" s="342"/>
      <c r="AO142" s="342"/>
      <c r="AP142" s="342"/>
      <c r="AQ142" s="342"/>
      <c r="AR142" s="342"/>
      <c r="AS142" s="342"/>
      <c r="AT142" s="342"/>
      <c r="AU142" s="342"/>
      <c r="AV142" s="342"/>
      <c r="AW142" s="342"/>
      <c r="AX142" s="342"/>
      <c r="AY142" s="342"/>
      <c r="AZ142" s="342"/>
      <c r="BA142" s="342"/>
      <c r="BB142" s="342"/>
      <c r="BC142" s="342"/>
      <c r="BD142" s="342"/>
      <c r="BE142" s="342"/>
      <c r="BF142" s="342"/>
      <c r="BG142" s="342"/>
      <c r="BH142" s="342"/>
    </row>
    <row r="143" spans="2:60" s="256" customFormat="1" ht="5.25" customHeight="1">
      <c r="AA143" s="397"/>
      <c r="AB143" s="342"/>
      <c r="AC143" s="342"/>
      <c r="AD143" s="342"/>
      <c r="AE143" s="342"/>
      <c r="AF143" s="342"/>
      <c r="AG143" s="342"/>
      <c r="AH143" s="342"/>
      <c r="AI143" s="342"/>
      <c r="AJ143" s="342"/>
      <c r="AK143" s="342"/>
      <c r="AL143" s="342"/>
      <c r="AM143" s="342"/>
      <c r="AN143" s="342"/>
      <c r="AO143" s="342"/>
      <c r="AP143" s="342"/>
      <c r="AQ143" s="342"/>
      <c r="AR143" s="342"/>
      <c r="AS143" s="342"/>
      <c r="AT143" s="342"/>
      <c r="AU143" s="342"/>
      <c r="AV143" s="342"/>
      <c r="AW143" s="342"/>
      <c r="AX143" s="342"/>
      <c r="AY143" s="342"/>
      <c r="AZ143" s="342"/>
      <c r="BA143" s="342"/>
      <c r="BB143" s="342"/>
      <c r="BC143" s="342"/>
      <c r="BD143" s="342"/>
      <c r="BE143" s="342"/>
      <c r="BF143" s="342"/>
      <c r="BG143" s="342"/>
      <c r="BH143" s="342"/>
    </row>
    <row r="144" spans="2:60" s="256" customFormat="1" ht="15.75">
      <c r="B144" s="452" t="s">
        <v>511</v>
      </c>
      <c r="AA144" s="397"/>
      <c r="AB144" s="342"/>
      <c r="AC144" s="342"/>
      <c r="AD144" s="342"/>
      <c r="AE144" s="342"/>
      <c r="AF144" s="342"/>
      <c r="AG144" s="342"/>
      <c r="AH144" s="342"/>
      <c r="AI144" s="342"/>
      <c r="AJ144" s="342"/>
      <c r="AK144" s="342"/>
      <c r="AL144" s="342"/>
      <c r="AM144" s="342"/>
      <c r="AN144" s="342"/>
      <c r="AO144" s="342"/>
      <c r="AP144" s="342"/>
      <c r="AQ144" s="342"/>
      <c r="AR144" s="342"/>
      <c r="AS144" s="342"/>
      <c r="AT144" s="342"/>
      <c r="AU144" s="342"/>
      <c r="AV144" s="342"/>
      <c r="AW144" s="342"/>
      <c r="AX144" s="342"/>
      <c r="AY144" s="342"/>
      <c r="AZ144" s="342"/>
      <c r="BA144" s="342"/>
      <c r="BB144" s="342"/>
      <c r="BC144" s="342"/>
      <c r="BD144" s="342"/>
      <c r="BE144" s="342"/>
      <c r="BF144" s="342"/>
      <c r="BG144" s="342"/>
      <c r="BH144" s="342"/>
    </row>
    <row r="145" spans="2:60" s="256" customFormat="1" ht="5.25" customHeight="1">
      <c r="AA145" s="397"/>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2"/>
      <c r="AW145" s="342"/>
      <c r="AX145" s="342"/>
      <c r="AY145" s="342"/>
      <c r="AZ145" s="342"/>
      <c r="BA145" s="342"/>
      <c r="BB145" s="342"/>
      <c r="BC145" s="342"/>
      <c r="BD145" s="342"/>
      <c r="BE145" s="342"/>
      <c r="BF145" s="342"/>
      <c r="BG145" s="342"/>
      <c r="BH145" s="342"/>
    </row>
    <row r="146" spans="2:60" s="256" customFormat="1">
      <c r="C146" s="450" t="s">
        <v>506</v>
      </c>
      <c r="AA146" s="397"/>
      <c r="AB146" s="342"/>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2"/>
      <c r="AY146" s="342"/>
      <c r="AZ146" s="342"/>
      <c r="BA146" s="342"/>
      <c r="BB146" s="342"/>
      <c r="BC146" s="342"/>
      <c r="BD146" s="342"/>
      <c r="BE146" s="342"/>
      <c r="BF146" s="342"/>
      <c r="BG146" s="342"/>
      <c r="BH146" s="342"/>
    </row>
    <row r="147" spans="2:60" s="256" customFormat="1" ht="6.75" customHeight="1" thickBot="1">
      <c r="AA147" s="397"/>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c r="AY147" s="342"/>
      <c r="AZ147" s="342"/>
      <c r="BA147" s="342"/>
      <c r="BB147" s="342"/>
      <c r="BC147" s="342"/>
      <c r="BD147" s="342"/>
      <c r="BE147" s="342"/>
      <c r="BF147" s="342"/>
      <c r="BG147" s="342"/>
      <c r="BH147" s="342"/>
    </row>
    <row r="148" spans="2:60" s="256" customFormat="1" ht="22.5" customHeight="1">
      <c r="C148" s="885" t="s">
        <v>368</v>
      </c>
      <c r="D148" s="886"/>
      <c r="E148" s="886"/>
      <c r="F148" s="886" t="s">
        <v>369</v>
      </c>
      <c r="G148" s="886"/>
      <c r="H148" s="886" t="s">
        <v>370</v>
      </c>
      <c r="I148" s="886"/>
      <c r="J148" s="886"/>
      <c r="K148" s="886" t="s">
        <v>371</v>
      </c>
      <c r="L148" s="886"/>
      <c r="M148" s="886"/>
      <c r="N148" s="886"/>
      <c r="O148" s="886"/>
      <c r="P148" s="886"/>
      <c r="Q148" s="886"/>
      <c r="R148" s="886"/>
      <c r="S148" s="886"/>
      <c r="T148" s="886"/>
      <c r="U148" s="886"/>
      <c r="V148" s="886"/>
      <c r="W148" s="886"/>
      <c r="X148" s="886"/>
      <c r="Y148" s="886"/>
      <c r="Z148" s="887"/>
      <c r="AA148" s="397"/>
      <c r="AB148" s="342"/>
      <c r="AC148" s="342"/>
      <c r="AD148" s="342"/>
      <c r="AE148" s="342"/>
      <c r="AF148" s="342"/>
      <c r="AG148" s="342"/>
      <c r="AH148" s="342"/>
      <c r="AI148" s="342"/>
      <c r="AJ148" s="342"/>
      <c r="AK148" s="342"/>
      <c r="AL148" s="342"/>
      <c r="AM148" s="342"/>
      <c r="AN148" s="342"/>
      <c r="AO148" s="342"/>
      <c r="AP148" s="342"/>
      <c r="AQ148" s="342"/>
      <c r="AR148" s="342"/>
      <c r="AS148" s="342"/>
      <c r="AT148" s="342"/>
      <c r="AU148" s="342"/>
      <c r="AV148" s="342"/>
      <c r="AW148" s="342"/>
      <c r="AX148" s="342"/>
      <c r="AY148" s="342"/>
      <c r="AZ148" s="342"/>
      <c r="BA148" s="342"/>
      <c r="BB148" s="342"/>
      <c r="BC148" s="342"/>
      <c r="BD148" s="342"/>
      <c r="BE148" s="342"/>
      <c r="BF148" s="342"/>
      <c r="BG148" s="342"/>
      <c r="BH148" s="342"/>
    </row>
    <row r="149" spans="2:60" s="256" customFormat="1">
      <c r="C149" s="777" t="s">
        <v>2</v>
      </c>
      <c r="D149" s="778"/>
      <c r="E149" s="778"/>
      <c r="F149" s="775"/>
      <c r="G149" s="775"/>
      <c r="H149" s="774"/>
      <c r="I149" s="774"/>
      <c r="J149" s="774"/>
      <c r="K149" s="775"/>
      <c r="L149" s="775"/>
      <c r="M149" s="775"/>
      <c r="N149" s="775"/>
      <c r="O149" s="775"/>
      <c r="P149" s="775"/>
      <c r="Q149" s="775"/>
      <c r="R149" s="775"/>
      <c r="S149" s="775"/>
      <c r="T149" s="775"/>
      <c r="U149" s="775"/>
      <c r="V149" s="775"/>
      <c r="W149" s="775"/>
      <c r="X149" s="775"/>
      <c r="Y149" s="775"/>
      <c r="Z149" s="776"/>
      <c r="AA149" s="397"/>
      <c r="AB149" s="342"/>
      <c r="AC149" s="342"/>
      <c r="AD149" s="342"/>
      <c r="AE149" s="342"/>
      <c r="AF149" s="342"/>
      <c r="AG149" s="342"/>
      <c r="AH149" s="342"/>
      <c r="AI149" s="342"/>
      <c r="AJ149" s="342"/>
      <c r="AK149" s="342"/>
      <c r="AL149" s="342"/>
      <c r="AM149" s="342"/>
      <c r="AN149" s="342"/>
      <c r="AO149" s="342"/>
      <c r="AP149" s="342"/>
      <c r="AQ149" s="342"/>
      <c r="AR149" s="342"/>
      <c r="AS149" s="342"/>
      <c r="AT149" s="342"/>
      <c r="AU149" s="342"/>
      <c r="AV149" s="342"/>
      <c r="AW149" s="342"/>
      <c r="AX149" s="342"/>
      <c r="AY149" s="342"/>
      <c r="AZ149" s="342"/>
      <c r="BA149" s="342"/>
      <c r="BB149" s="342"/>
      <c r="BC149" s="342"/>
      <c r="BD149" s="342"/>
      <c r="BE149" s="342"/>
      <c r="BF149" s="342"/>
      <c r="BG149" s="342"/>
      <c r="BH149" s="342"/>
    </row>
    <row r="150" spans="2:60" s="256" customFormat="1">
      <c r="C150" s="777"/>
      <c r="D150" s="778"/>
      <c r="E150" s="778"/>
      <c r="F150" s="775"/>
      <c r="G150" s="775"/>
      <c r="H150" s="774"/>
      <c r="I150" s="774"/>
      <c r="J150" s="774"/>
      <c r="K150" s="775"/>
      <c r="L150" s="775"/>
      <c r="M150" s="775"/>
      <c r="N150" s="775"/>
      <c r="O150" s="775"/>
      <c r="P150" s="775"/>
      <c r="Q150" s="775"/>
      <c r="R150" s="775"/>
      <c r="S150" s="775"/>
      <c r="T150" s="775"/>
      <c r="U150" s="775"/>
      <c r="V150" s="775"/>
      <c r="W150" s="775"/>
      <c r="X150" s="775"/>
      <c r="Y150" s="775"/>
      <c r="Z150" s="776"/>
      <c r="AA150" s="397"/>
      <c r="AB150" s="342"/>
      <c r="AC150" s="342"/>
      <c r="AD150" s="342"/>
      <c r="AE150" s="342"/>
      <c r="AF150" s="342"/>
      <c r="AG150" s="342"/>
      <c r="AH150" s="342"/>
      <c r="AI150" s="342"/>
      <c r="AJ150" s="342"/>
      <c r="AK150" s="342"/>
      <c r="AL150" s="342"/>
      <c r="AM150" s="342"/>
      <c r="AN150" s="342"/>
      <c r="AO150" s="342"/>
      <c r="AP150" s="342"/>
      <c r="AQ150" s="342"/>
      <c r="AR150" s="342"/>
      <c r="AS150" s="342"/>
      <c r="AT150" s="342"/>
      <c r="AU150" s="342"/>
      <c r="AV150" s="342"/>
      <c r="AW150" s="342"/>
      <c r="AX150" s="342"/>
      <c r="AY150" s="342"/>
      <c r="AZ150" s="342"/>
      <c r="BA150" s="342"/>
      <c r="BB150" s="342"/>
      <c r="BC150" s="342"/>
      <c r="BD150" s="342"/>
      <c r="BE150" s="342"/>
      <c r="BF150" s="342"/>
      <c r="BG150" s="342"/>
      <c r="BH150" s="342"/>
    </row>
    <row r="151" spans="2:60" s="256" customFormat="1">
      <c r="C151" s="777"/>
      <c r="D151" s="778"/>
      <c r="E151" s="778"/>
      <c r="F151" s="775"/>
      <c r="G151" s="775"/>
      <c r="H151" s="774"/>
      <c r="I151" s="774"/>
      <c r="J151" s="774"/>
      <c r="K151" s="775"/>
      <c r="L151" s="775"/>
      <c r="M151" s="775"/>
      <c r="N151" s="775"/>
      <c r="O151" s="775"/>
      <c r="P151" s="775"/>
      <c r="Q151" s="775"/>
      <c r="R151" s="775"/>
      <c r="S151" s="775"/>
      <c r="T151" s="775"/>
      <c r="U151" s="775"/>
      <c r="V151" s="775"/>
      <c r="W151" s="775"/>
      <c r="X151" s="775"/>
      <c r="Y151" s="775"/>
      <c r="Z151" s="776"/>
      <c r="AA151" s="397"/>
      <c r="AB151" s="342"/>
      <c r="AC151" s="342"/>
      <c r="AD151" s="342"/>
      <c r="AE151" s="342"/>
      <c r="AF151" s="342"/>
      <c r="AG151" s="342"/>
      <c r="AH151" s="342"/>
      <c r="AI151" s="342"/>
      <c r="AJ151" s="342"/>
      <c r="AK151" s="342"/>
      <c r="AL151" s="342"/>
      <c r="AM151" s="342"/>
      <c r="AN151" s="342"/>
      <c r="AO151" s="342"/>
      <c r="AP151" s="342"/>
      <c r="AQ151" s="342"/>
      <c r="AR151" s="342"/>
      <c r="AS151" s="342"/>
      <c r="AT151" s="342"/>
      <c r="AU151" s="342"/>
      <c r="AV151" s="342"/>
      <c r="AW151" s="342"/>
      <c r="AX151" s="342"/>
      <c r="AY151" s="342"/>
      <c r="AZ151" s="342"/>
      <c r="BA151" s="342"/>
      <c r="BB151" s="342"/>
      <c r="BC151" s="342"/>
      <c r="BD151" s="342"/>
      <c r="BE151" s="342"/>
      <c r="BF151" s="342"/>
      <c r="BG151" s="342"/>
      <c r="BH151" s="342"/>
    </row>
    <row r="152" spans="2:60" s="256" customFormat="1" ht="14.25" customHeight="1" thickBot="1">
      <c r="C152" s="934"/>
      <c r="D152" s="935"/>
      <c r="E152" s="935"/>
      <c r="F152" s="936"/>
      <c r="G152" s="936"/>
      <c r="H152" s="937"/>
      <c r="I152" s="937"/>
      <c r="J152" s="937"/>
      <c r="K152" s="936"/>
      <c r="L152" s="936"/>
      <c r="M152" s="936"/>
      <c r="N152" s="936"/>
      <c r="O152" s="936"/>
      <c r="P152" s="936"/>
      <c r="Q152" s="936"/>
      <c r="R152" s="936"/>
      <c r="S152" s="936"/>
      <c r="T152" s="936"/>
      <c r="U152" s="936"/>
      <c r="V152" s="936"/>
      <c r="W152" s="936"/>
      <c r="X152" s="936"/>
      <c r="Y152" s="936"/>
      <c r="Z152" s="938"/>
      <c r="AA152" s="397"/>
      <c r="AB152" s="342"/>
      <c r="AC152" s="342"/>
      <c r="AD152" s="342"/>
      <c r="AE152" s="342"/>
      <c r="AF152" s="342"/>
      <c r="AG152" s="342"/>
      <c r="AH152" s="342"/>
      <c r="AI152" s="342"/>
      <c r="AJ152" s="342"/>
      <c r="AK152" s="342"/>
      <c r="AL152" s="342"/>
      <c r="AM152" s="342"/>
      <c r="AN152" s="342"/>
      <c r="AO152" s="342"/>
      <c r="AP152" s="342"/>
      <c r="AQ152" s="342"/>
      <c r="AR152" s="342"/>
      <c r="AS152" s="342"/>
      <c r="AT152" s="342"/>
      <c r="AU152" s="342"/>
      <c r="AV152" s="342"/>
      <c r="AW152" s="342"/>
      <c r="AX152" s="342"/>
      <c r="AY152" s="342"/>
      <c r="AZ152" s="342"/>
      <c r="BA152" s="342"/>
      <c r="BB152" s="342"/>
      <c r="BC152" s="342"/>
      <c r="BD152" s="342"/>
      <c r="BE152" s="342"/>
      <c r="BF152" s="342"/>
      <c r="BG152" s="342"/>
      <c r="BH152" s="342"/>
    </row>
    <row r="153" spans="2:60" s="256" customFormat="1" ht="3.75" customHeight="1">
      <c r="AA153" s="397"/>
      <c r="AB153" s="342"/>
      <c r="AC153" s="342"/>
      <c r="AD153" s="342"/>
      <c r="AE153" s="342"/>
      <c r="AF153" s="342"/>
      <c r="AG153" s="342"/>
      <c r="AH153" s="342"/>
      <c r="AI153" s="342"/>
      <c r="AJ153" s="342"/>
      <c r="AK153" s="342"/>
      <c r="AL153" s="342"/>
      <c r="AM153" s="342"/>
      <c r="AN153" s="342"/>
      <c r="AO153" s="342"/>
      <c r="AP153" s="342"/>
      <c r="AQ153" s="342"/>
      <c r="AR153" s="342"/>
      <c r="AS153" s="342"/>
      <c r="AT153" s="342"/>
      <c r="AU153" s="342"/>
      <c r="AV153" s="342"/>
      <c r="AW153" s="342"/>
      <c r="AX153" s="342"/>
      <c r="AY153" s="342"/>
      <c r="AZ153" s="342"/>
      <c r="BA153" s="342"/>
      <c r="BB153" s="342"/>
      <c r="BC153" s="342"/>
      <c r="BD153" s="342"/>
      <c r="BE153" s="342"/>
      <c r="BF153" s="342"/>
      <c r="BG153" s="342"/>
      <c r="BH153" s="342"/>
    </row>
    <row r="154" spans="2:60" s="256" customFormat="1" ht="15.75">
      <c r="B154" s="452" t="s">
        <v>372</v>
      </c>
      <c r="AA154" s="397"/>
      <c r="AB154" s="342"/>
      <c r="AC154" s="342"/>
      <c r="AD154" s="342"/>
      <c r="AE154" s="342"/>
      <c r="AF154" s="342"/>
      <c r="AG154" s="342"/>
      <c r="AH154" s="342"/>
      <c r="AI154" s="342"/>
      <c r="AJ154" s="342"/>
      <c r="AK154" s="342"/>
      <c r="AL154" s="342"/>
      <c r="AM154" s="342"/>
      <c r="AN154" s="342"/>
      <c r="AO154" s="342"/>
      <c r="AP154" s="342"/>
      <c r="AQ154" s="342"/>
      <c r="AR154" s="342"/>
      <c r="AS154" s="342"/>
      <c r="AT154" s="342"/>
      <c r="AU154" s="342"/>
      <c r="AV154" s="342"/>
      <c r="AW154" s="342"/>
      <c r="AX154" s="342"/>
      <c r="AY154" s="342"/>
      <c r="AZ154" s="342"/>
      <c r="BA154" s="342"/>
      <c r="BB154" s="342"/>
      <c r="BC154" s="342"/>
      <c r="BD154" s="342"/>
      <c r="BE154" s="342"/>
      <c r="BF154" s="342"/>
      <c r="BG154" s="342"/>
      <c r="BH154" s="342"/>
    </row>
    <row r="155" spans="2:60" s="256" customFormat="1" ht="6" customHeight="1">
      <c r="AA155" s="397"/>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2"/>
      <c r="AY155" s="342"/>
      <c r="AZ155" s="342"/>
      <c r="BA155" s="342"/>
      <c r="BB155" s="342"/>
      <c r="BC155" s="342"/>
      <c r="BD155" s="342"/>
      <c r="BE155" s="342"/>
      <c r="BF155" s="342"/>
      <c r="BG155" s="342"/>
      <c r="BH155" s="342"/>
    </row>
    <row r="156" spans="2:60" s="256" customFormat="1" ht="15.75" customHeight="1">
      <c r="C156" s="884" t="s">
        <v>373</v>
      </c>
      <c r="D156" s="884"/>
      <c r="E156" s="884"/>
      <c r="F156" s="884"/>
      <c r="G156" s="884"/>
      <c r="H156" s="884"/>
      <c r="I156" s="884"/>
      <c r="K156" s="878" t="s">
        <v>2</v>
      </c>
      <c r="L156" s="786"/>
      <c r="M156" s="786"/>
      <c r="N156" s="786"/>
      <c r="O156" s="786"/>
      <c r="P156" s="786"/>
      <c r="Q156" s="786"/>
      <c r="R156" s="786"/>
      <c r="S156" s="786"/>
      <c r="T156" s="786"/>
      <c r="U156" s="786"/>
      <c r="V156" s="786"/>
      <c r="W156" s="786"/>
      <c r="X156" s="786"/>
      <c r="Y156" s="786"/>
      <c r="Z156" s="786"/>
      <c r="AA156" s="397"/>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2"/>
      <c r="AY156" s="342"/>
      <c r="AZ156" s="342"/>
      <c r="BA156" s="342"/>
      <c r="BB156" s="342"/>
      <c r="BC156" s="342"/>
      <c r="BD156" s="342"/>
      <c r="BE156" s="342"/>
      <c r="BF156" s="342"/>
      <c r="BG156" s="342"/>
      <c r="BH156" s="342"/>
    </row>
    <row r="157" spans="2:60" s="256" customFormat="1" ht="15.75" customHeight="1">
      <c r="C157" s="884" t="s">
        <v>487</v>
      </c>
      <c r="D157" s="884"/>
      <c r="E157" s="884"/>
      <c r="F157" s="884"/>
      <c r="G157" s="884"/>
      <c r="H157" s="884"/>
      <c r="I157" s="884"/>
      <c r="K157" s="786" t="s">
        <v>2</v>
      </c>
      <c r="L157" s="786"/>
      <c r="M157" s="786"/>
      <c r="N157" s="786"/>
      <c r="O157" s="786"/>
      <c r="P157" s="786"/>
      <c r="Q157" s="786"/>
      <c r="R157" s="786"/>
      <c r="S157" s="786"/>
      <c r="T157" s="786"/>
      <c r="U157" s="786"/>
      <c r="V157" s="786"/>
      <c r="W157" s="786"/>
      <c r="X157" s="786"/>
      <c r="Y157" s="786"/>
      <c r="Z157" s="786"/>
      <c r="AA157" s="397"/>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2"/>
      <c r="AY157" s="342"/>
      <c r="AZ157" s="342"/>
      <c r="BA157" s="342"/>
      <c r="BB157" s="342"/>
      <c r="BC157" s="342"/>
      <c r="BD157" s="342"/>
      <c r="BE157" s="342"/>
      <c r="BF157" s="342"/>
      <c r="BG157" s="342"/>
      <c r="BH157" s="342"/>
    </row>
    <row r="158" spans="2:60" s="256" customFormat="1" ht="15.75" customHeight="1">
      <c r="C158" s="884" t="s">
        <v>374</v>
      </c>
      <c r="D158" s="884"/>
      <c r="E158" s="884"/>
      <c r="F158" s="884"/>
      <c r="G158" s="884"/>
      <c r="H158" s="884"/>
      <c r="I158" s="884"/>
      <c r="K158" s="878" t="s">
        <v>2</v>
      </c>
      <c r="L158" s="786"/>
      <c r="M158" s="786"/>
      <c r="N158" s="786"/>
      <c r="O158" s="786"/>
      <c r="P158" s="786"/>
      <c r="Q158" s="786"/>
      <c r="R158" s="786"/>
      <c r="S158" s="786"/>
      <c r="T158" s="786"/>
      <c r="U158" s="786"/>
      <c r="V158" s="786"/>
      <c r="W158" s="786"/>
      <c r="X158" s="786"/>
      <c r="Y158" s="786"/>
      <c r="Z158" s="786"/>
      <c r="AA158" s="397"/>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row>
    <row r="159" spans="2:60" s="256" customFormat="1" ht="15.75" customHeight="1">
      <c r="C159" s="884" t="s">
        <v>512</v>
      </c>
      <c r="D159" s="884"/>
      <c r="E159" s="884"/>
      <c r="F159" s="884"/>
      <c r="G159" s="884"/>
      <c r="H159" s="884"/>
      <c r="I159" s="884"/>
      <c r="K159" s="878" t="s">
        <v>2</v>
      </c>
      <c r="L159" s="786"/>
      <c r="M159" s="786"/>
      <c r="N159" s="786"/>
      <c r="O159" s="786"/>
      <c r="P159" s="786"/>
      <c r="Q159" s="786"/>
      <c r="R159" s="786"/>
      <c r="S159" s="786"/>
      <c r="T159" s="786"/>
      <c r="U159" s="786"/>
      <c r="V159" s="786"/>
      <c r="W159" s="786"/>
      <c r="X159" s="786"/>
      <c r="Y159" s="786"/>
      <c r="Z159" s="786"/>
      <c r="AA159" s="397"/>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342"/>
      <c r="BC159" s="342"/>
      <c r="BD159" s="342"/>
      <c r="BE159" s="342"/>
      <c r="BF159" s="342"/>
      <c r="BG159" s="342"/>
      <c r="BH159" s="342"/>
    </row>
    <row r="160" spans="2:60" s="256" customFormat="1" ht="15.75" customHeight="1">
      <c r="C160" s="884" t="s">
        <v>375</v>
      </c>
      <c r="D160" s="884"/>
      <c r="E160" s="884"/>
      <c r="F160" s="884"/>
      <c r="G160" s="884"/>
      <c r="H160" s="884"/>
      <c r="I160" s="884"/>
      <c r="K160" s="878"/>
      <c r="L160" s="786"/>
      <c r="M160" s="786"/>
      <c r="N160" s="786"/>
      <c r="O160" s="786"/>
      <c r="P160" s="786"/>
      <c r="Q160" s="786"/>
      <c r="R160" s="786"/>
      <c r="S160" s="786"/>
      <c r="T160" s="786"/>
      <c r="U160" s="786"/>
      <c r="V160" s="786"/>
      <c r="W160" s="786"/>
      <c r="X160" s="786"/>
      <c r="Y160" s="786"/>
      <c r="Z160" s="786"/>
      <c r="AA160" s="397"/>
      <c r="AB160" s="342"/>
      <c r="AC160" s="342"/>
      <c r="AD160" s="342"/>
      <c r="AE160" s="342"/>
      <c r="AF160" s="342"/>
      <c r="AG160" s="342"/>
      <c r="AH160" s="342"/>
      <c r="AI160" s="342"/>
      <c r="AJ160" s="342"/>
      <c r="AK160" s="342"/>
      <c r="AL160" s="342"/>
      <c r="AM160" s="342"/>
      <c r="AN160" s="342"/>
      <c r="AO160" s="342"/>
      <c r="AP160" s="342"/>
      <c r="AQ160" s="342"/>
      <c r="AR160" s="342"/>
      <c r="AS160" s="342"/>
      <c r="AT160" s="342"/>
      <c r="AU160" s="342"/>
      <c r="AV160" s="342"/>
      <c r="AW160" s="342"/>
      <c r="AX160" s="342"/>
      <c r="AY160" s="342"/>
      <c r="AZ160" s="342"/>
      <c r="BA160" s="342"/>
      <c r="BB160" s="342"/>
      <c r="BC160" s="342"/>
      <c r="BD160" s="342"/>
      <c r="BE160" s="342"/>
      <c r="BF160" s="342"/>
      <c r="BG160" s="342"/>
      <c r="BH160" s="342"/>
    </row>
    <row r="161" spans="2:60" s="256" customFormat="1" ht="15.75" customHeight="1">
      <c r="C161" s="884" t="s">
        <v>513</v>
      </c>
      <c r="D161" s="884"/>
      <c r="E161" s="884"/>
      <c r="F161" s="884"/>
      <c r="G161" s="884"/>
      <c r="H161" s="884"/>
      <c r="I161" s="884"/>
      <c r="K161" s="878"/>
      <c r="L161" s="786"/>
      <c r="M161" s="786"/>
      <c r="N161" s="786"/>
      <c r="O161" s="786"/>
      <c r="P161" s="786"/>
      <c r="Q161" s="786"/>
      <c r="R161" s="786"/>
      <c r="S161" s="786"/>
      <c r="T161" s="786"/>
      <c r="U161" s="786"/>
      <c r="V161" s="786"/>
      <c r="W161" s="786"/>
      <c r="X161" s="786"/>
      <c r="Y161" s="786"/>
      <c r="Z161" s="786"/>
      <c r="AA161" s="397"/>
      <c r="AB161" s="342"/>
      <c r="AC161" s="342"/>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2"/>
      <c r="AY161" s="342"/>
      <c r="AZ161" s="342"/>
      <c r="BA161" s="342"/>
      <c r="BB161" s="342"/>
      <c r="BC161" s="342"/>
      <c r="BD161" s="342"/>
      <c r="BE161" s="342"/>
      <c r="BF161" s="342"/>
      <c r="BG161" s="342"/>
      <c r="BH161" s="342"/>
    </row>
    <row r="162" spans="2:60" s="256" customFormat="1" ht="15.75" customHeight="1">
      <c r="C162" s="939" t="s">
        <v>376</v>
      </c>
      <c r="D162" s="884"/>
      <c r="E162" s="884"/>
      <c r="F162" s="884"/>
      <c r="G162" s="884"/>
      <c r="H162" s="884"/>
      <c r="I162" s="884"/>
      <c r="K162" s="878" t="s">
        <v>2</v>
      </c>
      <c r="L162" s="786"/>
      <c r="M162" s="786"/>
      <c r="N162" s="786"/>
      <c r="O162" s="786"/>
      <c r="P162" s="786"/>
      <c r="Q162" s="786"/>
      <c r="R162" s="786"/>
      <c r="S162" s="786"/>
      <c r="T162" s="786"/>
      <c r="U162" s="786"/>
      <c r="V162" s="786"/>
      <c r="W162" s="786"/>
      <c r="X162" s="786"/>
      <c r="Y162" s="786"/>
      <c r="Z162" s="786"/>
      <c r="AA162" s="397"/>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342"/>
      <c r="BC162" s="342"/>
      <c r="BD162" s="342"/>
      <c r="BE162" s="342"/>
      <c r="BF162" s="342"/>
      <c r="BG162" s="342"/>
      <c r="BH162" s="342"/>
    </row>
    <row r="163" spans="2:60" s="256" customFormat="1" ht="6.75" customHeight="1">
      <c r="AA163" s="397"/>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342"/>
      <c r="BC163" s="342"/>
      <c r="BD163" s="342"/>
      <c r="BE163" s="342"/>
      <c r="BF163" s="342"/>
      <c r="BG163" s="342"/>
      <c r="BH163" s="342"/>
    </row>
    <row r="164" spans="2:60" s="256" customFormat="1" ht="15.75">
      <c r="B164" s="452" t="s">
        <v>377</v>
      </c>
      <c r="AA164" s="397"/>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342"/>
      <c r="BC164" s="342"/>
      <c r="BD164" s="342"/>
      <c r="BE164" s="342"/>
      <c r="BF164" s="342"/>
      <c r="BG164" s="342"/>
      <c r="BH164" s="342"/>
    </row>
    <row r="165" spans="2:60" s="256" customFormat="1" ht="6" customHeight="1">
      <c r="AA165" s="397"/>
      <c r="AB165" s="342"/>
      <c r="AC165" s="342"/>
      <c r="AD165" s="342"/>
      <c r="AE165" s="342"/>
      <c r="AF165" s="342"/>
      <c r="AG165" s="342"/>
      <c r="AH165" s="342"/>
      <c r="AI165" s="342"/>
      <c r="AJ165" s="342"/>
      <c r="AK165" s="342"/>
      <c r="AL165" s="342"/>
      <c r="AM165" s="342"/>
      <c r="AN165" s="342"/>
      <c r="AO165" s="342"/>
      <c r="AP165" s="342"/>
      <c r="AQ165" s="342"/>
      <c r="AR165" s="342"/>
      <c r="AS165" s="342"/>
      <c r="AT165" s="342"/>
      <c r="AU165" s="342"/>
      <c r="AV165" s="342"/>
      <c r="AW165" s="342"/>
      <c r="AX165" s="342"/>
      <c r="AY165" s="342"/>
      <c r="AZ165" s="342"/>
      <c r="BA165" s="342"/>
      <c r="BB165" s="342"/>
      <c r="BC165" s="342"/>
      <c r="BD165" s="342"/>
      <c r="BE165" s="342"/>
      <c r="BF165" s="342"/>
      <c r="BG165" s="342"/>
      <c r="BH165" s="342"/>
    </row>
    <row r="166" spans="2:60" s="256" customFormat="1" ht="29.25" customHeight="1">
      <c r="C166" s="891" t="s">
        <v>514</v>
      </c>
      <c r="D166" s="892"/>
      <c r="E166" s="892"/>
      <c r="F166" s="892"/>
      <c r="G166" s="892"/>
      <c r="H166" s="892"/>
      <c r="I166" s="893"/>
      <c r="K166" s="878" t="s">
        <v>2</v>
      </c>
      <c r="L166" s="786"/>
      <c r="M166" s="786"/>
      <c r="N166" s="786"/>
      <c r="O166" s="786"/>
      <c r="P166" s="786"/>
      <c r="Q166" s="786"/>
      <c r="R166" s="786"/>
      <c r="S166" s="786"/>
      <c r="T166" s="786"/>
      <c r="U166" s="786"/>
      <c r="V166" s="786"/>
      <c r="W166" s="786"/>
      <c r="X166" s="786"/>
      <c r="Y166" s="786"/>
      <c r="Z166" s="786"/>
      <c r="AA166" s="397"/>
      <c r="AB166" s="342"/>
      <c r="AC166" s="342"/>
      <c r="AD166" s="342"/>
      <c r="AE166" s="342"/>
      <c r="AF166" s="342"/>
      <c r="AG166" s="342"/>
      <c r="AH166" s="342"/>
      <c r="AI166" s="342"/>
      <c r="AJ166" s="342"/>
      <c r="AK166" s="342"/>
      <c r="AL166" s="342"/>
      <c r="AM166" s="342"/>
      <c r="AN166" s="342"/>
      <c r="AO166" s="342"/>
      <c r="AP166" s="342"/>
      <c r="AQ166" s="342"/>
      <c r="AR166" s="342"/>
      <c r="AS166" s="342"/>
      <c r="AT166" s="342"/>
      <c r="AU166" s="342"/>
      <c r="AV166" s="342"/>
      <c r="AW166" s="342"/>
      <c r="AX166" s="342"/>
      <c r="AY166" s="342"/>
      <c r="AZ166" s="342"/>
      <c r="BA166" s="342"/>
      <c r="BB166" s="342"/>
      <c r="BC166" s="342"/>
      <c r="BD166" s="342"/>
      <c r="BE166" s="342"/>
      <c r="BF166" s="342"/>
      <c r="BG166" s="342"/>
      <c r="BH166" s="342"/>
    </row>
    <row r="167" spans="2:60" s="256" customFormat="1" ht="17.25" customHeight="1">
      <c r="C167" s="921" t="s">
        <v>378</v>
      </c>
      <c r="D167" s="892"/>
      <c r="E167" s="892"/>
      <c r="F167" s="892"/>
      <c r="G167" s="892"/>
      <c r="H167" s="892"/>
      <c r="I167" s="893"/>
      <c r="K167" s="878" t="s">
        <v>2</v>
      </c>
      <c r="L167" s="786"/>
      <c r="M167" s="786"/>
      <c r="N167" s="786"/>
      <c r="O167" s="786"/>
      <c r="P167" s="786"/>
      <c r="Q167" s="786"/>
      <c r="R167" s="786"/>
      <c r="S167" s="786"/>
      <c r="T167" s="786"/>
      <c r="U167" s="786"/>
      <c r="V167" s="786"/>
      <c r="W167" s="786"/>
      <c r="X167" s="786"/>
      <c r="Y167" s="786"/>
      <c r="Z167" s="786"/>
      <c r="AA167" s="397"/>
      <c r="AB167" s="342"/>
      <c r="AC167" s="342"/>
      <c r="AD167" s="342"/>
      <c r="AE167" s="342"/>
      <c r="AF167" s="342"/>
      <c r="AG167" s="342"/>
      <c r="AH167" s="342"/>
      <c r="AI167" s="342"/>
      <c r="AJ167" s="342"/>
      <c r="AK167" s="342"/>
      <c r="AL167" s="342"/>
      <c r="AM167" s="342"/>
      <c r="AN167" s="342"/>
      <c r="AO167" s="342"/>
      <c r="AP167" s="342"/>
      <c r="AQ167" s="342"/>
      <c r="AR167" s="342"/>
      <c r="AS167" s="342"/>
      <c r="AT167" s="342"/>
      <c r="AU167" s="342"/>
      <c r="AV167" s="342"/>
      <c r="AW167" s="342"/>
      <c r="AX167" s="342"/>
      <c r="AY167" s="342"/>
      <c r="AZ167" s="342"/>
      <c r="BA167" s="342"/>
      <c r="BB167" s="342"/>
      <c r="BC167" s="342"/>
      <c r="BD167" s="342"/>
      <c r="BE167" s="342"/>
      <c r="BF167" s="342"/>
      <c r="BG167" s="342"/>
      <c r="BH167" s="342"/>
    </row>
    <row r="168" spans="2:60" s="256" customFormat="1" ht="26.25" customHeight="1">
      <c r="C168" s="891" t="s">
        <v>515</v>
      </c>
      <c r="D168" s="892"/>
      <c r="E168" s="892"/>
      <c r="F168" s="892"/>
      <c r="G168" s="892"/>
      <c r="H168" s="892"/>
      <c r="I168" s="893"/>
      <c r="K168" s="742" t="s">
        <v>2</v>
      </c>
      <c r="L168" s="743"/>
      <c r="M168" s="743"/>
      <c r="N168" s="743"/>
      <c r="O168" s="743"/>
      <c r="P168" s="743"/>
      <c r="Q168" s="743"/>
      <c r="R168" s="743"/>
      <c r="S168" s="743"/>
      <c r="T168" s="743"/>
      <c r="U168" s="743"/>
      <c r="V168" s="743"/>
      <c r="W168" s="743"/>
      <c r="X168" s="743"/>
      <c r="Y168" s="743"/>
      <c r="Z168" s="744"/>
      <c r="AA168" s="397"/>
      <c r="AB168" s="342"/>
      <c r="AC168" s="342"/>
      <c r="AD168" s="342"/>
      <c r="AE168" s="342"/>
      <c r="AF168" s="342"/>
      <c r="AG168" s="342"/>
      <c r="AH168" s="342"/>
      <c r="AI168" s="342"/>
      <c r="AJ168" s="342"/>
      <c r="AK168" s="342"/>
      <c r="AL168" s="342"/>
      <c r="AM168" s="342"/>
      <c r="AN168" s="342"/>
      <c r="AO168" s="342"/>
      <c r="AP168" s="342"/>
      <c r="AQ168" s="342"/>
      <c r="AR168" s="342"/>
      <c r="AS168" s="342"/>
      <c r="AT168" s="342"/>
      <c r="AU168" s="342"/>
      <c r="AV168" s="342"/>
      <c r="AW168" s="342"/>
      <c r="AX168" s="342"/>
      <c r="AY168" s="342"/>
      <c r="AZ168" s="342"/>
      <c r="BA168" s="342"/>
      <c r="BB168" s="342"/>
      <c r="BC168" s="342"/>
      <c r="BD168" s="342"/>
      <c r="BE168" s="342"/>
      <c r="BF168" s="342"/>
      <c r="BG168" s="342"/>
      <c r="BH168" s="342"/>
    </row>
    <row r="169" spans="2:60" s="256" customFormat="1" ht="5.25" customHeight="1">
      <c r="C169" s="525"/>
      <c r="D169" s="434"/>
      <c r="E169" s="434"/>
      <c r="F169" s="434"/>
      <c r="G169" s="434"/>
      <c r="H169" s="434"/>
      <c r="I169" s="434"/>
      <c r="K169" s="435"/>
      <c r="L169" s="435"/>
      <c r="M169" s="435"/>
      <c r="N169" s="435"/>
      <c r="O169" s="435"/>
      <c r="P169" s="435"/>
      <c r="Q169" s="435"/>
      <c r="R169" s="435"/>
      <c r="S169" s="435"/>
      <c r="T169" s="435"/>
      <c r="U169" s="435"/>
      <c r="V169" s="435"/>
      <c r="W169" s="435"/>
      <c r="X169" s="435"/>
      <c r="Y169" s="435"/>
      <c r="Z169" s="435"/>
      <c r="AA169" s="397"/>
      <c r="AB169" s="342"/>
      <c r="AC169" s="342"/>
      <c r="AD169" s="342"/>
      <c r="AE169" s="342"/>
      <c r="AF169" s="342"/>
      <c r="AG169" s="342"/>
      <c r="AH169" s="342"/>
      <c r="AI169" s="342"/>
      <c r="AJ169" s="342"/>
      <c r="AK169" s="342"/>
      <c r="AL169" s="342"/>
      <c r="AM169" s="342"/>
      <c r="AN169" s="342"/>
      <c r="AO169" s="342"/>
      <c r="AP169" s="342"/>
      <c r="AQ169" s="342"/>
      <c r="AR169" s="342"/>
      <c r="AS169" s="342"/>
      <c r="AT169" s="342"/>
      <c r="AU169" s="342"/>
      <c r="AV169" s="342"/>
      <c r="AW169" s="342"/>
      <c r="AX169" s="342"/>
      <c r="AY169" s="342"/>
      <c r="AZ169" s="342"/>
      <c r="BA169" s="342"/>
      <c r="BB169" s="342"/>
      <c r="BC169" s="342"/>
      <c r="BD169" s="342"/>
      <c r="BE169" s="342"/>
      <c r="BF169" s="342"/>
      <c r="BG169" s="342"/>
      <c r="BH169" s="342"/>
    </row>
    <row r="170" spans="2:60" s="256" customFormat="1" ht="15.75">
      <c r="B170" s="452" t="s">
        <v>112</v>
      </c>
      <c r="AA170" s="397"/>
      <c r="AB170" s="342"/>
      <c r="AC170" s="342"/>
      <c r="AD170" s="342"/>
      <c r="AE170" s="342"/>
      <c r="AF170" s="342"/>
      <c r="AG170" s="342"/>
      <c r="AH170" s="342"/>
      <c r="AI170" s="342"/>
      <c r="AJ170" s="342"/>
      <c r="AK170" s="342"/>
      <c r="AL170" s="342"/>
      <c r="AM170" s="342"/>
      <c r="AN170" s="342"/>
      <c r="AO170" s="342"/>
      <c r="AP170" s="342"/>
      <c r="AQ170" s="342"/>
      <c r="AR170" s="342"/>
      <c r="AS170" s="342"/>
      <c r="AT170" s="342"/>
      <c r="AU170" s="342"/>
      <c r="AV170" s="342"/>
      <c r="AW170" s="342"/>
      <c r="AX170" s="342"/>
      <c r="AY170" s="342"/>
      <c r="AZ170" s="342"/>
      <c r="BA170" s="342"/>
      <c r="BB170" s="342"/>
      <c r="BC170" s="342"/>
      <c r="BD170" s="342"/>
      <c r="BE170" s="342"/>
      <c r="BF170" s="342"/>
      <c r="BG170" s="342"/>
      <c r="BH170" s="342"/>
    </row>
    <row r="171" spans="2:60" s="256" customFormat="1" ht="6" customHeight="1">
      <c r="AA171" s="397"/>
      <c r="AB171" s="342"/>
      <c r="AC171" s="342"/>
      <c r="AD171" s="342"/>
      <c r="AE171" s="342"/>
      <c r="AF171" s="342"/>
      <c r="AG171" s="342"/>
      <c r="AH171" s="342"/>
      <c r="AI171" s="342"/>
      <c r="AJ171" s="342"/>
      <c r="AK171" s="342"/>
      <c r="AL171" s="342"/>
      <c r="AM171" s="342"/>
      <c r="AN171" s="342"/>
      <c r="AO171" s="342"/>
      <c r="AP171" s="342"/>
      <c r="AQ171" s="342"/>
      <c r="AR171" s="342"/>
      <c r="AS171" s="342"/>
      <c r="AT171" s="342"/>
      <c r="AU171" s="342"/>
      <c r="AV171" s="342"/>
      <c r="AW171" s="342"/>
      <c r="AX171" s="342"/>
      <c r="AY171" s="342"/>
      <c r="AZ171" s="342"/>
      <c r="BA171" s="342"/>
      <c r="BB171" s="342"/>
      <c r="BC171" s="342"/>
      <c r="BD171" s="342"/>
      <c r="BE171" s="342"/>
      <c r="BF171" s="342"/>
      <c r="BG171" s="342"/>
      <c r="BH171" s="342"/>
    </row>
    <row r="172" spans="2:60" s="256" customFormat="1" ht="30" customHeight="1">
      <c r="C172" s="891" t="s">
        <v>379</v>
      </c>
      <c r="D172" s="892"/>
      <c r="E172" s="892"/>
      <c r="F172" s="892"/>
      <c r="G172" s="892"/>
      <c r="H172" s="892"/>
      <c r="I172" s="893"/>
      <c r="K172" s="878" t="s">
        <v>2</v>
      </c>
      <c r="L172" s="786"/>
      <c r="M172" s="786"/>
      <c r="N172" s="786"/>
      <c r="O172" s="786"/>
      <c r="P172" s="786"/>
      <c r="Q172" s="786"/>
      <c r="R172" s="786"/>
      <c r="S172" s="786"/>
      <c r="T172" s="786"/>
      <c r="U172" s="786"/>
      <c r="V172" s="786"/>
      <c r="W172" s="786"/>
      <c r="X172" s="786"/>
      <c r="Y172" s="786"/>
      <c r="Z172" s="786"/>
      <c r="AA172" s="397"/>
      <c r="AB172" s="342"/>
      <c r="AC172" s="342"/>
      <c r="AD172" s="342"/>
      <c r="AE172" s="342"/>
      <c r="AF172" s="342"/>
      <c r="AG172" s="342"/>
      <c r="AH172" s="342"/>
      <c r="AI172" s="342"/>
      <c r="AJ172" s="342"/>
      <c r="AK172" s="342"/>
      <c r="AL172" s="342"/>
      <c r="AM172" s="342"/>
      <c r="AN172" s="342"/>
      <c r="AO172" s="342"/>
      <c r="AP172" s="342"/>
      <c r="AQ172" s="342"/>
      <c r="AR172" s="342"/>
      <c r="AS172" s="342"/>
      <c r="AT172" s="342"/>
      <c r="AU172" s="342"/>
      <c r="AV172" s="342"/>
      <c r="AW172" s="342"/>
      <c r="AX172" s="342"/>
      <c r="AY172" s="342"/>
      <c r="AZ172" s="342"/>
      <c r="BA172" s="342"/>
      <c r="BB172" s="342"/>
      <c r="BC172" s="342"/>
      <c r="BD172" s="342"/>
      <c r="BE172" s="342"/>
      <c r="BF172" s="342"/>
      <c r="BG172" s="342"/>
      <c r="BH172" s="342"/>
    </row>
    <row r="173" spans="2:60" s="256" customFormat="1" ht="15.75" customHeight="1">
      <c r="C173" s="806" t="s">
        <v>516</v>
      </c>
      <c r="D173" s="806"/>
      <c r="E173" s="806"/>
      <c r="F173" s="806"/>
      <c r="G173" s="806"/>
      <c r="H173" s="806"/>
      <c r="I173" s="806"/>
      <c r="K173" s="878" t="s">
        <v>2</v>
      </c>
      <c r="L173" s="786"/>
      <c r="M173" s="786"/>
      <c r="N173" s="786"/>
      <c r="O173" s="786"/>
      <c r="P173" s="786"/>
      <c r="Q173" s="786"/>
      <c r="R173" s="786"/>
      <c r="S173" s="786"/>
      <c r="T173" s="786"/>
      <c r="U173" s="786"/>
      <c r="V173" s="786"/>
      <c r="W173" s="786"/>
      <c r="X173" s="786"/>
      <c r="Y173" s="786"/>
      <c r="Z173" s="786"/>
      <c r="AA173" s="397"/>
      <c r="AB173" s="342"/>
      <c r="AC173" s="342"/>
      <c r="AD173" s="342"/>
      <c r="AE173" s="342"/>
      <c r="AF173" s="342"/>
      <c r="AG173" s="342"/>
      <c r="AH173" s="342"/>
      <c r="AI173" s="342"/>
      <c r="AJ173" s="342"/>
      <c r="AK173" s="342"/>
      <c r="AL173" s="342"/>
      <c r="AM173" s="342"/>
      <c r="AN173" s="342"/>
      <c r="AO173" s="342"/>
      <c r="AP173" s="342"/>
      <c r="AQ173" s="342"/>
      <c r="AR173" s="342"/>
      <c r="AS173" s="342"/>
      <c r="AT173" s="342"/>
      <c r="AU173" s="342"/>
      <c r="AV173" s="342"/>
      <c r="AW173" s="342"/>
      <c r="AX173" s="342"/>
      <c r="AY173" s="342"/>
      <c r="AZ173" s="342"/>
      <c r="BA173" s="342"/>
      <c r="BB173" s="342"/>
      <c r="BC173" s="342"/>
      <c r="BD173" s="342"/>
      <c r="BE173" s="342"/>
      <c r="BF173" s="342"/>
      <c r="BG173" s="342"/>
      <c r="BH173" s="342"/>
    </row>
    <row r="174" spans="2:60" s="256" customFormat="1" ht="28.5" customHeight="1">
      <c r="C174" s="891" t="s">
        <v>517</v>
      </c>
      <c r="D174" s="892"/>
      <c r="E174" s="892"/>
      <c r="F174" s="892"/>
      <c r="G174" s="892"/>
      <c r="H174" s="892"/>
      <c r="I174" s="893"/>
      <c r="K174" s="878" t="s">
        <v>2</v>
      </c>
      <c r="L174" s="786"/>
      <c r="M174" s="786"/>
      <c r="N174" s="786"/>
      <c r="O174" s="786"/>
      <c r="P174" s="786"/>
      <c r="Q174" s="786"/>
      <c r="R174" s="786"/>
      <c r="S174" s="786"/>
      <c r="T174" s="786"/>
      <c r="U174" s="786"/>
      <c r="V174" s="786"/>
      <c r="W174" s="786"/>
      <c r="X174" s="786"/>
      <c r="Y174" s="786"/>
      <c r="Z174" s="786"/>
      <c r="AA174" s="397"/>
      <c r="AB174" s="342"/>
      <c r="AC174" s="342"/>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2"/>
      <c r="AY174" s="342"/>
      <c r="AZ174" s="342"/>
      <c r="BA174" s="342"/>
      <c r="BB174" s="342"/>
      <c r="BC174" s="342"/>
      <c r="BD174" s="342"/>
      <c r="BE174" s="342"/>
      <c r="BF174" s="342"/>
      <c r="BG174" s="342"/>
      <c r="BH174" s="342"/>
    </row>
    <row r="175" spans="2:60" s="256" customFormat="1" ht="23.25" customHeight="1">
      <c r="C175" s="888" t="s">
        <v>380</v>
      </c>
      <c r="D175" s="889"/>
      <c r="E175" s="889"/>
      <c r="F175" s="889"/>
      <c r="G175" s="889"/>
      <c r="H175" s="889"/>
      <c r="I175" s="890"/>
      <c r="K175" s="878" t="s">
        <v>2</v>
      </c>
      <c r="L175" s="786"/>
      <c r="M175" s="786"/>
      <c r="N175" s="786"/>
      <c r="O175" s="786"/>
      <c r="P175" s="786"/>
      <c r="Q175" s="786"/>
      <c r="R175" s="786"/>
      <c r="S175" s="786"/>
      <c r="T175" s="786"/>
      <c r="U175" s="786"/>
      <c r="V175" s="786"/>
      <c r="W175" s="786"/>
      <c r="X175" s="786"/>
      <c r="Y175" s="786"/>
      <c r="Z175" s="786"/>
      <c r="AA175" s="397"/>
      <c r="AB175" s="342"/>
      <c r="AC175" s="342"/>
      <c r="AD175" s="342"/>
      <c r="AE175" s="342"/>
      <c r="AF175" s="342"/>
      <c r="AG175" s="342"/>
      <c r="AH175" s="342"/>
      <c r="AI175" s="342"/>
      <c r="AJ175" s="342"/>
      <c r="AK175" s="342"/>
      <c r="AL175" s="342"/>
      <c r="AM175" s="342"/>
      <c r="AN175" s="342"/>
      <c r="AO175" s="342"/>
      <c r="AP175" s="342"/>
      <c r="AQ175" s="342"/>
      <c r="AR175" s="342"/>
      <c r="AS175" s="342"/>
      <c r="AT175" s="342"/>
      <c r="AU175" s="342"/>
      <c r="AV175" s="342"/>
      <c r="AW175" s="342"/>
      <c r="AX175" s="342"/>
      <c r="AY175" s="342"/>
      <c r="AZ175" s="342"/>
      <c r="BA175" s="342"/>
      <c r="BB175" s="342"/>
      <c r="BC175" s="342"/>
      <c r="BD175" s="342"/>
      <c r="BE175" s="342"/>
      <c r="BF175" s="342"/>
      <c r="BG175" s="342"/>
      <c r="BH175" s="342"/>
    </row>
    <row r="176" spans="2:60" s="256" customFormat="1" ht="24" customHeight="1">
      <c r="C176" s="877" t="s">
        <v>518</v>
      </c>
      <c r="D176" s="877"/>
      <c r="E176" s="877"/>
      <c r="F176" s="877"/>
      <c r="G176" s="877"/>
      <c r="H176" s="877"/>
      <c r="I176" s="877"/>
      <c r="K176" s="878" t="s">
        <v>2</v>
      </c>
      <c r="L176" s="786"/>
      <c r="M176" s="786"/>
      <c r="N176" s="786"/>
      <c r="O176" s="786"/>
      <c r="P176" s="786"/>
      <c r="Q176" s="786"/>
      <c r="R176" s="786"/>
      <c r="S176" s="786"/>
      <c r="T176" s="786"/>
      <c r="U176" s="786"/>
      <c r="V176" s="786"/>
      <c r="W176" s="786"/>
      <c r="X176" s="786"/>
      <c r="Y176" s="786"/>
      <c r="Z176" s="786"/>
      <c r="AA176" s="397"/>
      <c r="AB176" s="342"/>
      <c r="AC176" s="342"/>
      <c r="AD176" s="342"/>
      <c r="AE176" s="342"/>
      <c r="AF176" s="342"/>
      <c r="AG176" s="342"/>
      <c r="AH176" s="342"/>
      <c r="AI176" s="342"/>
      <c r="AJ176" s="342"/>
      <c r="AK176" s="342"/>
      <c r="AL176" s="342"/>
      <c r="AM176" s="342"/>
      <c r="AN176" s="342"/>
      <c r="AO176" s="342"/>
      <c r="AP176" s="342"/>
      <c r="AQ176" s="342"/>
      <c r="AR176" s="342"/>
      <c r="AS176" s="342"/>
      <c r="AT176" s="342"/>
      <c r="AU176" s="342"/>
      <c r="AV176" s="342"/>
      <c r="AW176" s="342"/>
      <c r="AX176" s="342"/>
      <c r="AY176" s="342"/>
      <c r="AZ176" s="342"/>
      <c r="BA176" s="342"/>
      <c r="BB176" s="342"/>
      <c r="BC176" s="342"/>
      <c r="BD176" s="342"/>
      <c r="BE176" s="342"/>
      <c r="BF176" s="342"/>
      <c r="BG176" s="342"/>
      <c r="BH176" s="342"/>
    </row>
    <row r="177" spans="2:60" s="256" customFormat="1" ht="25.5" customHeight="1">
      <c r="C177" s="877" t="s">
        <v>519</v>
      </c>
      <c r="D177" s="877"/>
      <c r="E177" s="877"/>
      <c r="F177" s="877"/>
      <c r="G177" s="877"/>
      <c r="H177" s="877"/>
      <c r="I177" s="877"/>
      <c r="K177" s="878" t="s">
        <v>2</v>
      </c>
      <c r="L177" s="786"/>
      <c r="M177" s="786"/>
      <c r="N177" s="786"/>
      <c r="O177" s="786"/>
      <c r="P177" s="786"/>
      <c r="Q177" s="786"/>
      <c r="R177" s="786"/>
      <c r="S177" s="786"/>
      <c r="T177" s="786"/>
      <c r="U177" s="786"/>
      <c r="V177" s="786"/>
      <c r="W177" s="786"/>
      <c r="X177" s="786"/>
      <c r="Y177" s="786"/>
      <c r="Z177" s="786"/>
      <c r="AA177" s="397"/>
      <c r="AB177" s="342"/>
      <c r="AC177" s="342"/>
      <c r="AD177" s="342"/>
      <c r="AE177" s="342"/>
      <c r="AF177" s="342"/>
      <c r="AG177" s="342"/>
      <c r="AH177" s="342"/>
      <c r="AI177" s="342"/>
      <c r="AJ177" s="342"/>
      <c r="AK177" s="342"/>
      <c r="AL177" s="342"/>
      <c r="AM177" s="342"/>
      <c r="AN177" s="342"/>
      <c r="AO177" s="342"/>
      <c r="AP177" s="342"/>
      <c r="AQ177" s="342"/>
      <c r="AR177" s="342"/>
      <c r="AS177" s="342"/>
      <c r="AT177" s="342"/>
      <c r="AU177" s="342"/>
      <c r="AV177" s="342"/>
      <c r="AW177" s="342"/>
      <c r="AX177" s="342"/>
      <c r="AY177" s="342"/>
      <c r="AZ177" s="342"/>
      <c r="BA177" s="342"/>
      <c r="BB177" s="342"/>
      <c r="BC177" s="342"/>
      <c r="BD177" s="342"/>
      <c r="BE177" s="342"/>
      <c r="BF177" s="342"/>
      <c r="BG177" s="342"/>
      <c r="BH177" s="342"/>
    </row>
    <row r="178" spans="2:60" s="635" customFormat="1" ht="33.75" customHeight="1">
      <c r="C178" s="879" t="s">
        <v>642</v>
      </c>
      <c r="D178" s="879"/>
      <c r="E178" s="879"/>
      <c r="F178" s="879"/>
      <c r="G178" s="879"/>
      <c r="H178" s="879"/>
      <c r="I178" s="879"/>
      <c r="K178" s="878" t="s">
        <v>2</v>
      </c>
      <c r="L178" s="786"/>
      <c r="M178" s="786"/>
      <c r="N178" s="786"/>
      <c r="O178" s="786"/>
      <c r="P178" s="786"/>
      <c r="Q178" s="786"/>
      <c r="R178" s="786"/>
      <c r="S178" s="786"/>
      <c r="T178" s="786"/>
      <c r="U178" s="786"/>
      <c r="V178" s="786"/>
      <c r="W178" s="786"/>
      <c r="X178" s="786"/>
      <c r="Y178" s="786"/>
      <c r="Z178" s="786"/>
      <c r="AA178" s="640"/>
      <c r="AB178" s="639"/>
      <c r="AC178" s="639"/>
      <c r="AD178" s="639"/>
      <c r="AE178" s="639"/>
      <c r="AF178" s="639"/>
      <c r="AG178" s="639"/>
      <c r="AH178" s="639"/>
      <c r="AI178" s="639"/>
      <c r="AJ178" s="639"/>
      <c r="AK178" s="639"/>
      <c r="AL178" s="639"/>
      <c r="AM178" s="639"/>
      <c r="AN178" s="639"/>
      <c r="AO178" s="639"/>
      <c r="AP178" s="639"/>
      <c r="AQ178" s="639"/>
      <c r="AR178" s="639"/>
      <c r="AS178" s="639"/>
      <c r="AT178" s="639"/>
      <c r="AU178" s="639"/>
      <c r="AV178" s="639"/>
      <c r="AW178" s="639"/>
      <c r="AX178" s="639"/>
      <c r="AY178" s="639"/>
      <c r="AZ178" s="639"/>
      <c r="BA178" s="639"/>
      <c r="BB178" s="639"/>
      <c r="BC178" s="639"/>
      <c r="BD178" s="639"/>
      <c r="BE178" s="639"/>
      <c r="BF178" s="639"/>
      <c r="BG178" s="639"/>
      <c r="BH178" s="639"/>
    </row>
    <row r="179" spans="2:60" s="256" customFormat="1" ht="18" customHeight="1">
      <c r="C179" s="921" t="s">
        <v>591</v>
      </c>
      <c r="D179" s="892"/>
      <c r="E179" s="892"/>
      <c r="F179" s="892"/>
      <c r="G179" s="892"/>
      <c r="H179" s="892"/>
      <c r="I179" s="893"/>
      <c r="K179" s="926"/>
      <c r="L179" s="927"/>
      <c r="M179" s="927"/>
      <c r="N179" s="927"/>
      <c r="O179" s="927"/>
      <c r="P179" s="927"/>
      <c r="Q179" s="927"/>
      <c r="R179" s="927"/>
      <c r="S179" s="927"/>
      <c r="T179" s="927"/>
      <c r="U179" s="927"/>
      <c r="V179" s="927"/>
      <c r="W179" s="927"/>
      <c r="X179" s="927"/>
      <c r="Y179" s="927"/>
      <c r="Z179" s="597"/>
      <c r="AA179" s="397"/>
      <c r="AB179" s="342"/>
      <c r="AC179" s="342"/>
      <c r="AD179" s="342"/>
      <c r="AE179" s="342"/>
      <c r="AF179" s="342"/>
      <c r="AG179" s="342"/>
      <c r="AH179" s="342"/>
      <c r="AI179" s="342"/>
      <c r="AJ179" s="342"/>
      <c r="AK179" s="342"/>
      <c r="AL179" s="342"/>
      <c r="AM179" s="342"/>
      <c r="AN179" s="342"/>
      <c r="AO179" s="342"/>
      <c r="AP179" s="342"/>
      <c r="AQ179" s="342"/>
      <c r="AR179" s="342"/>
      <c r="AS179" s="342"/>
      <c r="AT179" s="342"/>
      <c r="AU179" s="342"/>
      <c r="AV179" s="342"/>
      <c r="AW179" s="342"/>
      <c r="AX179" s="342"/>
      <c r="AY179" s="342"/>
      <c r="AZ179" s="342"/>
      <c r="BA179" s="342"/>
      <c r="BB179" s="342"/>
      <c r="BC179" s="342"/>
      <c r="BD179" s="342"/>
      <c r="BE179" s="342"/>
      <c r="BF179" s="342"/>
      <c r="BG179" s="342"/>
      <c r="BH179" s="342"/>
    </row>
    <row r="180" spans="2:60" s="256" customFormat="1" ht="6" customHeight="1">
      <c r="C180" s="525"/>
      <c r="D180" s="434"/>
      <c r="E180" s="434"/>
      <c r="F180" s="434"/>
      <c r="G180" s="434"/>
      <c r="H180" s="434"/>
      <c r="I180" s="434"/>
      <c r="K180" s="435"/>
      <c r="L180" s="435"/>
      <c r="M180" s="435"/>
      <c r="N180" s="435"/>
      <c r="O180" s="435"/>
      <c r="P180" s="435"/>
      <c r="Q180" s="435"/>
      <c r="R180" s="435"/>
      <c r="S180" s="435"/>
      <c r="T180" s="435"/>
      <c r="U180" s="435"/>
      <c r="V180" s="435"/>
      <c r="W180" s="435"/>
      <c r="X180" s="435"/>
      <c r="Y180" s="435"/>
      <c r="Z180" s="435"/>
      <c r="AA180" s="397"/>
      <c r="AB180" s="342"/>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2"/>
      <c r="AY180" s="342"/>
      <c r="AZ180" s="342"/>
      <c r="BA180" s="342"/>
      <c r="BB180" s="342"/>
      <c r="BC180" s="342"/>
      <c r="BD180" s="342"/>
      <c r="BE180" s="342"/>
      <c r="BF180" s="342"/>
      <c r="BG180" s="342"/>
      <c r="BH180" s="342"/>
    </row>
    <row r="181" spans="2:60" s="256" customFormat="1" ht="2.25" customHeight="1">
      <c r="C181" s="526"/>
      <c r="D181" s="505"/>
      <c r="E181" s="505"/>
      <c r="F181" s="505"/>
      <c r="G181" s="505"/>
      <c r="H181" s="505"/>
      <c r="I181" s="505"/>
      <c r="K181" s="435"/>
      <c r="L181" s="435"/>
      <c r="M181" s="435"/>
      <c r="N181" s="435"/>
      <c r="O181" s="435"/>
      <c r="P181" s="435"/>
      <c r="Q181" s="435"/>
      <c r="R181" s="435"/>
      <c r="S181" s="435"/>
      <c r="T181" s="435"/>
      <c r="U181" s="435"/>
      <c r="V181" s="435"/>
      <c r="W181" s="435"/>
      <c r="X181" s="435"/>
      <c r="Y181" s="435"/>
      <c r="Z181" s="435"/>
      <c r="AA181" s="397"/>
      <c r="AB181" s="342"/>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2"/>
      <c r="AY181" s="342"/>
      <c r="AZ181" s="342"/>
      <c r="BA181" s="342"/>
      <c r="BB181" s="342"/>
      <c r="BC181" s="342"/>
      <c r="BD181" s="342"/>
      <c r="BE181" s="342"/>
      <c r="BF181" s="342"/>
      <c r="BG181" s="342"/>
      <c r="BH181" s="342"/>
    </row>
    <row r="182" spans="2:60" s="256" customFormat="1" ht="15.75">
      <c r="B182" s="452" t="s">
        <v>381</v>
      </c>
      <c r="C182" s="526"/>
      <c r="D182" s="505"/>
      <c r="E182" s="505"/>
      <c r="F182" s="505"/>
      <c r="G182" s="505"/>
      <c r="H182" s="436" t="s">
        <v>645</v>
      </c>
      <c r="I182" s="505"/>
      <c r="J182" s="250" t="s">
        <v>520</v>
      </c>
      <c r="K182" s="435"/>
      <c r="L182" s="435"/>
      <c r="M182" s="435"/>
      <c r="N182" s="435"/>
      <c r="O182" s="435"/>
      <c r="P182" s="435"/>
      <c r="Q182" s="435"/>
      <c r="R182" s="435"/>
      <c r="S182" s="435"/>
      <c r="T182" s="435"/>
      <c r="U182" s="435"/>
      <c r="V182" s="435"/>
      <c r="W182" s="435"/>
      <c r="X182" s="435"/>
      <c r="Y182" s="435"/>
      <c r="Z182" s="435"/>
      <c r="AA182" s="397"/>
      <c r="AB182" s="342" t="s">
        <v>2</v>
      </c>
      <c r="AC182" s="342"/>
      <c r="AD182" s="342"/>
      <c r="AE182" s="342"/>
      <c r="AF182" s="342"/>
      <c r="AG182" s="342"/>
      <c r="AH182" s="342"/>
      <c r="AI182" s="342"/>
      <c r="AJ182" s="342"/>
      <c r="AK182" s="342"/>
      <c r="AL182" s="342"/>
      <c r="AM182" s="342"/>
      <c r="AN182" s="342"/>
      <c r="AO182" s="342"/>
      <c r="AP182" s="342"/>
      <c r="AQ182" s="342"/>
      <c r="AR182" s="342"/>
      <c r="AS182" s="342"/>
      <c r="AT182" s="342"/>
      <c r="AU182" s="342"/>
      <c r="AV182" s="342"/>
      <c r="AW182" s="342"/>
      <c r="AX182" s="342"/>
      <c r="AY182" s="342"/>
      <c r="AZ182" s="342"/>
      <c r="BA182" s="342"/>
      <c r="BB182" s="342"/>
      <c r="BC182" s="342"/>
      <c r="BD182" s="342"/>
      <c r="BE182" s="342"/>
      <c r="BF182" s="342"/>
      <c r="BG182" s="342"/>
      <c r="BH182" s="342"/>
    </row>
    <row r="183" spans="2:60" s="256" customFormat="1" ht="1.5" customHeight="1">
      <c r="C183" s="526"/>
      <c r="D183" s="505"/>
      <c r="E183" s="505"/>
      <c r="F183" s="505"/>
      <c r="G183" s="505"/>
      <c r="H183" s="505"/>
      <c r="I183" s="505"/>
      <c r="K183" s="435"/>
      <c r="L183" s="435"/>
      <c r="M183" s="435"/>
      <c r="N183" s="435"/>
      <c r="O183" s="435"/>
      <c r="P183" s="435"/>
      <c r="Q183" s="435"/>
      <c r="R183" s="435"/>
      <c r="S183" s="435"/>
      <c r="T183" s="435"/>
      <c r="U183" s="435"/>
      <c r="V183" s="435"/>
      <c r="W183" s="435"/>
      <c r="X183" s="435"/>
      <c r="Y183" s="435"/>
      <c r="Z183" s="435"/>
      <c r="AA183" s="397"/>
      <c r="AB183" s="342"/>
      <c r="AC183" s="342"/>
      <c r="AD183" s="342"/>
      <c r="AE183" s="342"/>
      <c r="AF183" s="342"/>
      <c r="AG183" s="342"/>
      <c r="AH183" s="342"/>
      <c r="AI183" s="342"/>
      <c r="AJ183" s="342"/>
      <c r="AK183" s="342"/>
      <c r="AL183" s="342"/>
      <c r="AM183" s="342"/>
      <c r="AN183" s="342"/>
      <c r="AO183" s="342"/>
      <c r="AP183" s="342"/>
      <c r="AQ183" s="342"/>
      <c r="AR183" s="342"/>
      <c r="AS183" s="342"/>
      <c r="AT183" s="342"/>
      <c r="AU183" s="342"/>
      <c r="AV183" s="342"/>
      <c r="AW183" s="342"/>
      <c r="AX183" s="342"/>
      <c r="AY183" s="342"/>
      <c r="AZ183" s="342"/>
      <c r="BA183" s="342"/>
      <c r="BB183" s="342"/>
      <c r="BC183" s="342"/>
      <c r="BD183" s="342"/>
      <c r="BE183" s="342"/>
      <c r="BF183" s="342"/>
      <c r="BG183" s="342"/>
      <c r="BH183" s="342"/>
    </row>
    <row r="184" spans="2:60" s="256" customFormat="1">
      <c r="C184" s="526" t="s">
        <v>382</v>
      </c>
      <c r="D184" s="505"/>
      <c r="E184" s="505"/>
      <c r="F184" s="505"/>
      <c r="G184" s="505"/>
      <c r="H184" s="505"/>
      <c r="I184" s="505"/>
      <c r="K184" s="922" t="s">
        <v>383</v>
      </c>
      <c r="L184" s="923"/>
      <c r="M184" s="923"/>
      <c r="N184" s="923"/>
      <c r="O184" s="923"/>
      <c r="P184" s="923"/>
      <c r="Q184" s="923"/>
      <c r="R184" s="922" t="s">
        <v>384</v>
      </c>
      <c r="S184" s="923"/>
      <c r="T184" s="923"/>
      <c r="U184" s="923"/>
      <c r="V184" s="923"/>
      <c r="W184" s="923"/>
      <c r="X184" s="435"/>
      <c r="Y184" s="527" t="s">
        <v>385</v>
      </c>
      <c r="Z184" s="435"/>
      <c r="AA184" s="397"/>
      <c r="AB184" s="342"/>
      <c r="AC184" s="342"/>
      <c r="AD184" s="342"/>
      <c r="AE184" s="342"/>
      <c r="AF184" s="342"/>
      <c r="AG184" s="342"/>
      <c r="AH184" s="342"/>
      <c r="AI184" s="342"/>
      <c r="AJ184" s="342"/>
      <c r="AK184" s="342"/>
      <c r="AL184" s="342"/>
      <c r="AM184" s="342"/>
      <c r="AN184" s="342"/>
      <c r="AO184" s="342"/>
      <c r="AP184" s="342"/>
      <c r="AQ184" s="342"/>
      <c r="AR184" s="342"/>
      <c r="AS184" s="342"/>
      <c r="AT184" s="342"/>
      <c r="AU184" s="342"/>
      <c r="AV184" s="342"/>
      <c r="AW184" s="342"/>
      <c r="AX184" s="342"/>
      <c r="AY184" s="342"/>
      <c r="AZ184" s="342"/>
      <c r="BA184" s="342"/>
      <c r="BB184" s="342"/>
      <c r="BC184" s="342"/>
      <c r="BD184" s="342"/>
      <c r="BE184" s="342"/>
      <c r="BF184" s="342"/>
      <c r="BG184" s="342"/>
      <c r="BH184" s="342"/>
    </row>
    <row r="185" spans="2:60" s="256" customFormat="1" ht="15" customHeight="1">
      <c r="C185" s="789" t="s">
        <v>2</v>
      </c>
      <c r="D185" s="789"/>
      <c r="E185" s="789"/>
      <c r="F185" s="789"/>
      <c r="G185" s="789"/>
      <c r="H185" s="789"/>
      <c r="I185" s="789"/>
      <c r="K185" s="925"/>
      <c r="L185" s="789"/>
      <c r="M185" s="789"/>
      <c r="N185" s="789"/>
      <c r="O185" s="789"/>
      <c r="P185" s="789"/>
      <c r="Q185" s="789"/>
      <c r="R185" s="746"/>
      <c r="S185" s="747"/>
      <c r="T185" s="747"/>
      <c r="U185" s="747"/>
      <c r="V185" s="747"/>
      <c r="W185" s="747"/>
      <c r="X185" s="747"/>
      <c r="Y185" s="878" t="s">
        <v>2</v>
      </c>
      <c r="Z185" s="786"/>
      <c r="AA185" s="397"/>
      <c r="AB185" s="342"/>
      <c r="AC185" s="342"/>
      <c r="AD185" s="342"/>
      <c r="AE185" s="342"/>
      <c r="AF185" s="342"/>
      <c r="AG185" s="342"/>
      <c r="AH185" s="342"/>
      <c r="AI185" s="342"/>
      <c r="AJ185" s="342"/>
      <c r="AK185" s="342"/>
      <c r="AL185" s="342"/>
      <c r="AM185" s="342"/>
      <c r="AN185" s="342"/>
      <c r="AO185" s="342"/>
      <c r="AP185" s="342"/>
      <c r="AQ185" s="342"/>
      <c r="AR185" s="342"/>
      <c r="AS185" s="342"/>
      <c r="AT185" s="342"/>
      <c r="AU185" s="342"/>
      <c r="AV185" s="342"/>
      <c r="AW185" s="342"/>
      <c r="AX185" s="342"/>
      <c r="AY185" s="342"/>
      <c r="AZ185" s="342"/>
      <c r="BA185" s="342"/>
      <c r="BB185" s="342"/>
      <c r="BC185" s="342"/>
      <c r="BD185" s="342"/>
      <c r="BE185" s="342"/>
      <c r="BF185" s="342"/>
      <c r="BG185" s="342"/>
      <c r="BH185" s="342"/>
    </row>
    <row r="186" spans="2:60" s="256" customFormat="1" ht="15" customHeight="1">
      <c r="C186" s="925"/>
      <c r="D186" s="789"/>
      <c r="E186" s="789"/>
      <c r="F186" s="789"/>
      <c r="G186" s="789"/>
      <c r="H186" s="789"/>
      <c r="I186" s="789"/>
      <c r="K186" s="789"/>
      <c r="L186" s="789"/>
      <c r="M186" s="789"/>
      <c r="N186" s="789"/>
      <c r="O186" s="789"/>
      <c r="P186" s="789"/>
      <c r="Q186" s="789"/>
      <c r="R186" s="746" t="s">
        <v>2</v>
      </c>
      <c r="S186" s="747"/>
      <c r="T186" s="747"/>
      <c r="U186" s="747"/>
      <c r="V186" s="747"/>
      <c r="W186" s="747"/>
      <c r="X186" s="747"/>
      <c r="Y186" s="786" t="s">
        <v>2</v>
      </c>
      <c r="Z186" s="786"/>
      <c r="AA186" s="397"/>
      <c r="AB186" s="342"/>
      <c r="AC186" s="342"/>
      <c r="AD186" s="342"/>
      <c r="AE186" s="342"/>
      <c r="AF186" s="342"/>
      <c r="AG186" s="342"/>
      <c r="AH186" s="342"/>
      <c r="AI186" s="342"/>
      <c r="AJ186" s="342"/>
      <c r="AK186" s="342"/>
      <c r="AL186" s="342"/>
      <c r="AM186" s="342"/>
      <c r="AN186" s="342"/>
      <c r="AO186" s="342"/>
      <c r="AP186" s="342"/>
      <c r="AQ186" s="342"/>
      <c r="AR186" s="342"/>
      <c r="AS186" s="342"/>
      <c r="AT186" s="342"/>
      <c r="AU186" s="342"/>
      <c r="AV186" s="342"/>
      <c r="AW186" s="342"/>
      <c r="AX186" s="342"/>
      <c r="AY186" s="342"/>
      <c r="AZ186" s="342"/>
      <c r="BA186" s="342"/>
      <c r="BB186" s="342"/>
      <c r="BC186" s="342"/>
      <c r="BD186" s="342"/>
      <c r="BE186" s="342"/>
      <c r="BF186" s="342"/>
      <c r="BG186" s="342"/>
      <c r="BH186" s="342"/>
    </row>
    <row r="187" spans="2:60" s="256" customFormat="1" ht="15" customHeight="1">
      <c r="C187" s="925"/>
      <c r="D187" s="789"/>
      <c r="E187" s="789"/>
      <c r="F187" s="789"/>
      <c r="G187" s="789"/>
      <c r="H187" s="789"/>
      <c r="I187" s="789"/>
      <c r="K187" s="789"/>
      <c r="L187" s="789"/>
      <c r="M187" s="789"/>
      <c r="N187" s="789"/>
      <c r="O187" s="789"/>
      <c r="P187" s="789"/>
      <c r="Q187" s="789"/>
      <c r="R187" s="746" t="s">
        <v>2</v>
      </c>
      <c r="S187" s="747"/>
      <c r="T187" s="747"/>
      <c r="U187" s="747"/>
      <c r="V187" s="747"/>
      <c r="W187" s="747"/>
      <c r="X187" s="747"/>
      <c r="Y187" s="786" t="s">
        <v>2</v>
      </c>
      <c r="Z187" s="786"/>
      <c r="AA187" s="397"/>
      <c r="AB187" s="342"/>
      <c r="AC187" s="342"/>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2"/>
      <c r="AY187" s="342"/>
      <c r="AZ187" s="342"/>
      <c r="BA187" s="342"/>
      <c r="BB187" s="342"/>
      <c r="BC187" s="342"/>
      <c r="BD187" s="342"/>
      <c r="BE187" s="342"/>
      <c r="BF187" s="342"/>
      <c r="BG187" s="342"/>
      <c r="BH187" s="342"/>
    </row>
    <row r="188" spans="2:60" s="256" customFormat="1" ht="15" customHeight="1">
      <c r="C188" s="789"/>
      <c r="D188" s="789"/>
      <c r="E188" s="789"/>
      <c r="F188" s="789"/>
      <c r="G188" s="789"/>
      <c r="H188" s="789"/>
      <c r="I188" s="789"/>
      <c r="K188" s="789"/>
      <c r="L188" s="789"/>
      <c r="M188" s="789"/>
      <c r="N188" s="789"/>
      <c r="O188" s="789"/>
      <c r="P188" s="789"/>
      <c r="Q188" s="789"/>
      <c r="R188" s="747"/>
      <c r="S188" s="747"/>
      <c r="T188" s="747"/>
      <c r="U188" s="747"/>
      <c r="V188" s="747"/>
      <c r="W188" s="747"/>
      <c r="X188" s="747"/>
      <c r="Y188" s="786"/>
      <c r="Z188" s="786"/>
      <c r="AA188" s="397"/>
      <c r="AB188" s="342"/>
      <c r="AC188" s="342"/>
      <c r="AD188" s="342"/>
      <c r="AE188" s="342"/>
      <c r="AF188" s="342"/>
      <c r="AG188" s="342"/>
      <c r="AH188" s="342"/>
      <c r="AI188" s="342"/>
      <c r="AJ188" s="342"/>
      <c r="AK188" s="342"/>
      <c r="AL188" s="342"/>
      <c r="AM188" s="342"/>
      <c r="AN188" s="342"/>
      <c r="AO188" s="342"/>
      <c r="AP188" s="342"/>
      <c r="AQ188" s="342"/>
      <c r="AR188" s="342"/>
      <c r="AS188" s="342"/>
      <c r="AT188" s="342"/>
      <c r="AU188" s="342"/>
      <c r="AV188" s="342"/>
      <c r="AW188" s="342"/>
      <c r="AX188" s="342"/>
      <c r="AY188" s="342"/>
      <c r="AZ188" s="342"/>
      <c r="BA188" s="342"/>
      <c r="BB188" s="342"/>
      <c r="BC188" s="342"/>
      <c r="BD188" s="342"/>
      <c r="BE188" s="342"/>
      <c r="BF188" s="342"/>
      <c r="BG188" s="342"/>
      <c r="BH188" s="342"/>
    </row>
    <row r="189" spans="2:60" s="256" customFormat="1" ht="15" customHeight="1">
      <c r="C189" s="789" t="s">
        <v>2</v>
      </c>
      <c r="D189" s="789"/>
      <c r="E189" s="789"/>
      <c r="F189" s="789"/>
      <c r="G189" s="789"/>
      <c r="H189" s="789"/>
      <c r="I189" s="789"/>
      <c r="K189" s="789"/>
      <c r="L189" s="789"/>
      <c r="M189" s="789"/>
      <c r="N189" s="789"/>
      <c r="O189" s="789"/>
      <c r="P189" s="789"/>
      <c r="Q189" s="789"/>
      <c r="R189" s="747"/>
      <c r="S189" s="747"/>
      <c r="T189" s="747"/>
      <c r="U189" s="747"/>
      <c r="V189" s="747"/>
      <c r="W189" s="747"/>
      <c r="X189" s="747"/>
      <c r="Y189" s="786"/>
      <c r="Z189" s="786"/>
      <c r="AA189" s="397"/>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c r="AW189" s="342"/>
      <c r="AX189" s="342"/>
      <c r="AY189" s="342"/>
      <c r="AZ189" s="342"/>
      <c r="BA189" s="342"/>
      <c r="BB189" s="342"/>
      <c r="BC189" s="342"/>
      <c r="BD189" s="342"/>
      <c r="BE189" s="342"/>
      <c r="BF189" s="342"/>
      <c r="BG189" s="342"/>
      <c r="BH189" s="342"/>
    </row>
    <row r="190" spans="2:60" s="256" customFormat="1" ht="15" customHeight="1">
      <c r="C190" s="789"/>
      <c r="D190" s="789"/>
      <c r="E190" s="789"/>
      <c r="F190" s="789"/>
      <c r="G190" s="789"/>
      <c r="H190" s="789"/>
      <c r="I190" s="789"/>
      <c r="K190" s="789"/>
      <c r="L190" s="789"/>
      <c r="M190" s="789"/>
      <c r="N190" s="789"/>
      <c r="O190" s="789"/>
      <c r="P190" s="789"/>
      <c r="Q190" s="789"/>
      <c r="R190" s="747"/>
      <c r="S190" s="747"/>
      <c r="T190" s="747"/>
      <c r="U190" s="747"/>
      <c r="V190" s="747"/>
      <c r="W190" s="747"/>
      <c r="X190" s="747"/>
      <c r="Y190" s="786"/>
      <c r="Z190" s="786"/>
      <c r="AA190" s="397"/>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2"/>
      <c r="AY190" s="342"/>
      <c r="AZ190" s="342"/>
      <c r="BA190" s="342"/>
      <c r="BB190" s="342"/>
      <c r="BC190" s="342"/>
      <c r="BD190" s="342"/>
      <c r="BE190" s="342"/>
      <c r="BF190" s="342"/>
      <c r="BG190" s="342"/>
      <c r="BH190" s="342"/>
    </row>
    <row r="191" spans="2:60" s="256" customFormat="1" ht="15" customHeight="1">
      <c r="C191" s="789"/>
      <c r="D191" s="789"/>
      <c r="E191" s="789"/>
      <c r="F191" s="789"/>
      <c r="G191" s="789"/>
      <c r="H191" s="789"/>
      <c r="I191" s="789"/>
      <c r="K191" s="789"/>
      <c r="L191" s="789"/>
      <c r="M191" s="789"/>
      <c r="N191" s="789"/>
      <c r="O191" s="789"/>
      <c r="P191" s="789"/>
      <c r="Q191" s="789"/>
      <c r="R191" s="747"/>
      <c r="S191" s="747"/>
      <c r="T191" s="747"/>
      <c r="U191" s="747"/>
      <c r="V191" s="747"/>
      <c r="W191" s="747"/>
      <c r="X191" s="747"/>
      <c r="Y191" s="786"/>
      <c r="Z191" s="786"/>
      <c r="AA191" s="397"/>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2"/>
      <c r="AY191" s="342"/>
      <c r="AZ191" s="342"/>
      <c r="BA191" s="342"/>
      <c r="BB191" s="342"/>
      <c r="BC191" s="342"/>
      <c r="BD191" s="342"/>
      <c r="BE191" s="342"/>
      <c r="BF191" s="342"/>
      <c r="BG191" s="342"/>
      <c r="BH191" s="342"/>
    </row>
    <row r="192" spans="2:60" s="256" customFormat="1" ht="15" customHeight="1">
      <c r="C192" s="924"/>
      <c r="D192" s="924"/>
      <c r="E192" s="924"/>
      <c r="F192" s="924"/>
      <c r="G192" s="924"/>
      <c r="H192" s="924"/>
      <c r="I192" s="924"/>
      <c r="K192" s="789"/>
      <c r="L192" s="789"/>
      <c r="M192" s="789"/>
      <c r="N192" s="789"/>
      <c r="O192" s="789"/>
      <c r="P192" s="789"/>
      <c r="Q192" s="789"/>
      <c r="R192" s="747"/>
      <c r="S192" s="747"/>
      <c r="T192" s="747"/>
      <c r="U192" s="747"/>
      <c r="V192" s="747"/>
      <c r="W192" s="747"/>
      <c r="X192" s="747"/>
      <c r="Y192" s="786"/>
      <c r="Z192" s="786"/>
      <c r="AA192" s="397"/>
      <c r="AB192" s="342"/>
      <c r="AC192" s="342"/>
      <c r="AD192" s="342"/>
      <c r="AE192" s="342"/>
      <c r="AF192" s="342"/>
      <c r="AG192" s="342"/>
      <c r="AH192" s="342"/>
      <c r="AI192" s="342"/>
      <c r="AJ192" s="342"/>
      <c r="AK192" s="342"/>
      <c r="AL192" s="342"/>
      <c r="AM192" s="342"/>
      <c r="AN192" s="342"/>
      <c r="AO192" s="342"/>
      <c r="AP192" s="342"/>
      <c r="AQ192" s="342"/>
      <c r="AR192" s="342"/>
      <c r="AS192" s="342"/>
      <c r="AT192" s="342"/>
      <c r="AU192" s="342"/>
      <c r="AV192" s="342"/>
      <c r="AW192" s="342"/>
      <c r="AX192" s="342"/>
      <c r="AY192" s="342"/>
      <c r="AZ192" s="342"/>
      <c r="BA192" s="342"/>
      <c r="BB192" s="342"/>
      <c r="BC192" s="342"/>
      <c r="BD192" s="342"/>
      <c r="BE192" s="342"/>
      <c r="BF192" s="342"/>
      <c r="BG192" s="342"/>
      <c r="BH192" s="342"/>
    </row>
    <row r="193" spans="2:60" s="256" customFormat="1" ht="7.5" customHeight="1">
      <c r="C193" s="436"/>
      <c r="D193" s="436"/>
      <c r="E193" s="436"/>
      <c r="F193" s="436"/>
      <c r="G193" s="436"/>
      <c r="H193" s="436"/>
      <c r="I193" s="436"/>
      <c r="K193" s="436"/>
      <c r="L193" s="436"/>
      <c r="M193" s="436"/>
      <c r="N193" s="436"/>
      <c r="O193" s="436"/>
      <c r="P193" s="436"/>
      <c r="Q193" s="436"/>
      <c r="R193" s="436"/>
      <c r="S193" s="436"/>
      <c r="T193" s="436"/>
      <c r="U193" s="436"/>
      <c r="V193" s="436"/>
      <c r="W193" s="436"/>
      <c r="X193" s="436"/>
      <c r="Y193" s="435"/>
      <c r="Z193" s="435"/>
      <c r="AA193" s="397"/>
      <c r="AB193" s="342"/>
      <c r="AC193" s="342"/>
      <c r="AD193" s="342"/>
      <c r="AE193" s="342"/>
      <c r="AF193" s="342"/>
      <c r="AG193" s="342"/>
      <c r="AH193" s="342"/>
      <c r="AI193" s="342"/>
      <c r="AJ193" s="342"/>
      <c r="AK193" s="342"/>
      <c r="AL193" s="342"/>
      <c r="AM193" s="342"/>
      <c r="AN193" s="342"/>
      <c r="AO193" s="342"/>
      <c r="AP193" s="342"/>
      <c r="AQ193" s="342"/>
      <c r="AR193" s="342"/>
      <c r="AS193" s="342"/>
      <c r="AT193" s="342"/>
      <c r="AU193" s="342"/>
      <c r="AV193" s="342"/>
      <c r="AW193" s="342"/>
      <c r="AX193" s="342"/>
      <c r="AY193" s="342"/>
      <c r="AZ193" s="342"/>
      <c r="BA193" s="342"/>
      <c r="BB193" s="342"/>
      <c r="BC193" s="342"/>
      <c r="BD193" s="342"/>
      <c r="BE193" s="342"/>
      <c r="BF193" s="342"/>
      <c r="BG193" s="342"/>
      <c r="BH193" s="342"/>
    </row>
    <row r="194" spans="2:60" s="256" customFormat="1" ht="4.5" customHeight="1">
      <c r="AA194" s="397"/>
      <c r="AB194" s="342"/>
      <c r="AC194" s="342"/>
      <c r="AD194" s="342"/>
      <c r="AE194" s="342"/>
      <c r="AF194" s="342"/>
      <c r="AG194" s="342"/>
      <c r="AH194" s="342"/>
      <c r="AI194" s="342"/>
      <c r="AJ194" s="342"/>
      <c r="AK194" s="342"/>
      <c r="AL194" s="342"/>
      <c r="AM194" s="342"/>
      <c r="AN194" s="342"/>
      <c r="AO194" s="342"/>
      <c r="AP194" s="342"/>
      <c r="AQ194" s="342"/>
      <c r="AR194" s="342"/>
      <c r="AS194" s="342"/>
      <c r="AT194" s="342"/>
      <c r="AU194" s="342"/>
      <c r="AV194" s="342"/>
      <c r="AW194" s="342"/>
      <c r="AX194" s="342"/>
      <c r="AY194" s="342"/>
      <c r="AZ194" s="342"/>
      <c r="BA194" s="342"/>
      <c r="BB194" s="342"/>
      <c r="BC194" s="342"/>
      <c r="BD194" s="342"/>
      <c r="BE194" s="342"/>
      <c r="BF194" s="342"/>
      <c r="BG194" s="342"/>
      <c r="BH194" s="342"/>
    </row>
    <row r="195" spans="2:60" s="256" customFormat="1" ht="15.75">
      <c r="B195" s="452" t="s">
        <v>386</v>
      </c>
      <c r="H195" s="281" t="s">
        <v>387</v>
      </c>
      <c r="AA195" s="397"/>
      <c r="AB195" s="342"/>
      <c r="AC195" s="342"/>
      <c r="AD195" s="342"/>
      <c r="AE195" s="342"/>
      <c r="AF195" s="342"/>
      <c r="AG195" s="342"/>
      <c r="AH195" s="342"/>
      <c r="AI195" s="342"/>
      <c r="AJ195" s="342"/>
      <c r="AK195" s="342"/>
      <c r="AL195" s="342"/>
      <c r="AM195" s="342"/>
      <c r="AN195" s="342"/>
      <c r="AO195" s="342"/>
      <c r="AP195" s="342"/>
      <c r="AQ195" s="342"/>
      <c r="AR195" s="342"/>
      <c r="AS195" s="342"/>
      <c r="AT195" s="342"/>
      <c r="AU195" s="342"/>
      <c r="AV195" s="342"/>
      <c r="AW195" s="342"/>
      <c r="AX195" s="342"/>
      <c r="AY195" s="342"/>
      <c r="AZ195" s="342"/>
      <c r="BA195" s="342"/>
      <c r="BB195" s="342"/>
      <c r="BC195" s="342"/>
      <c r="BD195" s="342"/>
      <c r="BE195" s="342"/>
      <c r="BF195" s="342"/>
      <c r="BG195" s="342"/>
      <c r="BH195" s="342"/>
    </row>
    <row r="196" spans="2:60" s="256" customFormat="1" ht="5.25" customHeight="1">
      <c r="AA196" s="397"/>
      <c r="AB196" s="342"/>
      <c r="AC196" s="342"/>
      <c r="AD196" s="342"/>
      <c r="AE196" s="342"/>
      <c r="AF196" s="342"/>
      <c r="AG196" s="342"/>
      <c r="AH196" s="342"/>
      <c r="AI196" s="342"/>
      <c r="AJ196" s="342"/>
      <c r="AK196" s="342"/>
      <c r="AL196" s="342"/>
      <c r="AM196" s="342"/>
      <c r="AN196" s="342"/>
      <c r="AO196" s="342"/>
      <c r="AP196" s="342"/>
      <c r="AQ196" s="342"/>
      <c r="AR196" s="342"/>
      <c r="AS196" s="342"/>
      <c r="AT196" s="342"/>
      <c r="AU196" s="342"/>
      <c r="AV196" s="342"/>
      <c r="AW196" s="342"/>
      <c r="AX196" s="342"/>
      <c r="AY196" s="342"/>
      <c r="AZ196" s="342"/>
      <c r="BA196" s="342"/>
      <c r="BB196" s="342"/>
      <c r="BC196" s="342"/>
      <c r="BD196" s="342"/>
      <c r="BE196" s="342"/>
      <c r="BF196" s="342"/>
      <c r="BG196" s="342"/>
      <c r="BH196" s="342"/>
    </row>
    <row r="197" spans="2:60" s="256" customFormat="1" ht="12.75" customHeight="1">
      <c r="C197" s="433" t="s">
        <v>2</v>
      </c>
      <c r="O197" s="250" t="s">
        <v>388</v>
      </c>
      <c r="P197" s="250" t="s">
        <v>389</v>
      </c>
      <c r="AA197" s="397"/>
      <c r="AB197" s="342"/>
      <c r="AC197" s="342"/>
      <c r="AD197" s="342"/>
      <c r="AE197" s="342"/>
      <c r="AF197" s="342"/>
      <c r="AG197" s="342"/>
      <c r="AH197" s="342"/>
      <c r="AI197" s="342"/>
      <c r="AJ197" s="342"/>
      <c r="AK197" s="342"/>
      <c r="AL197" s="342"/>
      <c r="AM197" s="342"/>
      <c r="AN197" s="342"/>
      <c r="AO197" s="342"/>
      <c r="AP197" s="342"/>
      <c r="AQ197" s="342"/>
      <c r="AR197" s="342"/>
      <c r="AS197" s="342"/>
      <c r="AT197" s="342"/>
      <c r="AU197" s="342"/>
      <c r="AV197" s="342"/>
      <c r="AW197" s="342"/>
      <c r="AX197" s="342"/>
      <c r="AY197" s="342"/>
      <c r="AZ197" s="342"/>
      <c r="BA197" s="342"/>
      <c r="BB197" s="342"/>
      <c r="BC197" s="342"/>
      <c r="BD197" s="342"/>
      <c r="BE197" s="342"/>
      <c r="BF197" s="342"/>
      <c r="BG197" s="342"/>
      <c r="BH197" s="342"/>
    </row>
    <row r="198" spans="2:60" s="256" customFormat="1" ht="50.25" customHeight="1">
      <c r="C198" s="779" t="s">
        <v>592</v>
      </c>
      <c r="D198" s="780"/>
      <c r="E198" s="780"/>
      <c r="F198" s="780"/>
      <c r="G198" s="780"/>
      <c r="H198" s="780"/>
      <c r="I198" s="780"/>
      <c r="J198" s="780"/>
      <c r="K198" s="780"/>
      <c r="L198" s="780"/>
      <c r="M198" s="780"/>
      <c r="N198" s="781"/>
      <c r="O198" s="442"/>
      <c r="P198" s="528" t="s">
        <v>2</v>
      </c>
      <c r="Q198" s="739" t="s">
        <v>641</v>
      </c>
      <c r="R198" s="740"/>
      <c r="S198" s="740"/>
      <c r="T198" s="740"/>
      <c r="U198" s="740"/>
      <c r="V198" s="740"/>
      <c r="W198" s="740"/>
      <c r="X198" s="740"/>
      <c r="Y198" s="740"/>
      <c r="Z198" s="741"/>
      <c r="AA198" s="397"/>
      <c r="AB198" s="342"/>
      <c r="AC198" s="342"/>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2"/>
      <c r="AY198" s="342"/>
      <c r="AZ198" s="342"/>
      <c r="BA198" s="342"/>
      <c r="BB198" s="342"/>
      <c r="BC198" s="342"/>
      <c r="BD198" s="342"/>
      <c r="BE198" s="342"/>
      <c r="BF198" s="342"/>
      <c r="BG198" s="342"/>
      <c r="BH198" s="342"/>
    </row>
    <row r="199" spans="2:60" s="256" customFormat="1" ht="48.75" customHeight="1">
      <c r="C199" s="787" t="s">
        <v>521</v>
      </c>
      <c r="D199" s="794"/>
      <c r="E199" s="794"/>
      <c r="F199" s="794"/>
      <c r="G199" s="794"/>
      <c r="H199" s="794"/>
      <c r="I199" s="794"/>
      <c r="J199" s="794"/>
      <c r="K199" s="794"/>
      <c r="L199" s="794"/>
      <c r="M199" s="794"/>
      <c r="N199" s="795"/>
      <c r="O199" s="442"/>
      <c r="P199" s="528"/>
      <c r="Q199" s="790" t="s">
        <v>522</v>
      </c>
      <c r="R199" s="791"/>
      <c r="S199" s="791"/>
      <c r="T199" s="791"/>
      <c r="U199" s="791"/>
      <c r="V199" s="791"/>
      <c r="W199" s="791"/>
      <c r="X199" s="791"/>
      <c r="Y199" s="791"/>
      <c r="Z199" s="792"/>
      <c r="AA199" s="397"/>
      <c r="AB199" s="342"/>
      <c r="AC199" s="342"/>
      <c r="AD199" s="342"/>
      <c r="AE199" s="342"/>
      <c r="AF199" s="342"/>
      <c r="AG199" s="342"/>
      <c r="AH199" s="342"/>
      <c r="AI199" s="342"/>
      <c r="AJ199" s="342"/>
      <c r="AK199" s="342"/>
      <c r="AL199" s="342"/>
      <c r="AM199" s="342"/>
      <c r="AN199" s="342"/>
      <c r="AO199" s="342"/>
      <c r="AP199" s="342"/>
      <c r="AQ199" s="342"/>
      <c r="AR199" s="342"/>
      <c r="AS199" s="342"/>
      <c r="AT199" s="342"/>
      <c r="AU199" s="342"/>
      <c r="AV199" s="342"/>
      <c r="AW199" s="342"/>
      <c r="AX199" s="342"/>
      <c r="AY199" s="342"/>
      <c r="AZ199" s="342"/>
      <c r="BA199" s="342"/>
      <c r="BB199" s="342"/>
      <c r="BC199" s="342"/>
      <c r="BD199" s="342"/>
      <c r="BE199" s="342"/>
      <c r="BF199" s="342"/>
      <c r="BG199" s="342"/>
      <c r="BH199" s="342"/>
    </row>
    <row r="200" spans="2:60" s="635" customFormat="1" ht="48.75" customHeight="1">
      <c r="C200" s="796" t="s">
        <v>646</v>
      </c>
      <c r="D200" s="797"/>
      <c r="E200" s="797"/>
      <c r="F200" s="797"/>
      <c r="G200" s="797"/>
      <c r="H200" s="797"/>
      <c r="I200" s="797"/>
      <c r="J200" s="797"/>
      <c r="K200" s="797"/>
      <c r="L200" s="797"/>
      <c r="M200" s="797"/>
      <c r="N200" s="798"/>
      <c r="O200" s="737"/>
      <c r="P200" s="737"/>
      <c r="Q200" s="799" t="s">
        <v>639</v>
      </c>
      <c r="R200" s="800"/>
      <c r="S200" s="800"/>
      <c r="T200" s="800"/>
      <c r="U200" s="800"/>
      <c r="V200" s="800"/>
      <c r="W200" s="800"/>
      <c r="X200" s="800"/>
      <c r="Y200" s="800"/>
      <c r="Z200" s="801"/>
      <c r="AA200" s="640"/>
      <c r="AB200" s="639"/>
      <c r="AC200" s="639"/>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639"/>
      <c r="AY200" s="639"/>
      <c r="AZ200" s="639"/>
      <c r="BA200" s="639"/>
      <c r="BB200" s="639"/>
      <c r="BC200" s="639"/>
      <c r="BD200" s="639"/>
      <c r="BE200" s="639"/>
      <c r="BF200" s="639"/>
      <c r="BG200" s="639"/>
      <c r="BH200" s="639"/>
    </row>
    <row r="201" spans="2:60" s="256" customFormat="1" ht="28.5" customHeight="1">
      <c r="C201" s="796" t="s">
        <v>523</v>
      </c>
      <c r="D201" s="797"/>
      <c r="E201" s="797"/>
      <c r="F201" s="797"/>
      <c r="G201" s="797"/>
      <c r="H201" s="797"/>
      <c r="I201" s="797"/>
      <c r="J201" s="797"/>
      <c r="K201" s="797"/>
      <c r="L201" s="797"/>
      <c r="M201" s="797"/>
      <c r="N201" s="798"/>
      <c r="O201" s="442" t="s">
        <v>2</v>
      </c>
      <c r="P201" s="528" t="s">
        <v>2</v>
      </c>
      <c r="Q201" s="739"/>
      <c r="R201" s="740"/>
      <c r="S201" s="740"/>
      <c r="T201" s="740"/>
      <c r="U201" s="740"/>
      <c r="V201" s="740"/>
      <c r="W201" s="740"/>
      <c r="X201" s="740"/>
      <c r="Y201" s="740"/>
      <c r="Z201" s="741"/>
      <c r="AA201" s="397"/>
      <c r="AB201" s="342"/>
      <c r="AC201" s="342"/>
      <c r="AD201" s="342"/>
      <c r="AE201" s="342"/>
      <c r="AF201" s="342"/>
      <c r="AG201" s="342"/>
      <c r="AH201" s="342"/>
      <c r="AI201" s="342"/>
      <c r="AJ201" s="342"/>
      <c r="AK201" s="342"/>
      <c r="AL201" s="342"/>
      <c r="AM201" s="342"/>
      <c r="AN201" s="342"/>
      <c r="AO201" s="342"/>
      <c r="AP201" s="342"/>
      <c r="AQ201" s="342"/>
      <c r="AR201" s="342"/>
      <c r="AS201" s="342"/>
      <c r="AT201" s="342"/>
      <c r="AU201" s="342"/>
      <c r="AV201" s="342"/>
      <c r="AW201" s="342"/>
      <c r="AX201" s="342"/>
      <c r="AY201" s="342"/>
      <c r="AZ201" s="342"/>
      <c r="BA201" s="342"/>
      <c r="BB201" s="342"/>
      <c r="BC201" s="342"/>
      <c r="BD201" s="342"/>
      <c r="BE201" s="342"/>
      <c r="BF201" s="342"/>
      <c r="BG201" s="342"/>
      <c r="BH201" s="342"/>
    </row>
    <row r="202" spans="2:60" s="635" customFormat="1" ht="28.5" customHeight="1">
      <c r="C202" s="796" t="s">
        <v>640</v>
      </c>
      <c r="D202" s="797"/>
      <c r="E202" s="797"/>
      <c r="F202" s="797"/>
      <c r="G202" s="797"/>
      <c r="H202" s="797"/>
      <c r="I202" s="797"/>
      <c r="J202" s="797"/>
      <c r="K202" s="797"/>
      <c r="L202" s="797"/>
      <c r="M202" s="797"/>
      <c r="N202" s="798"/>
      <c r="O202" s="645"/>
      <c r="P202" s="528"/>
      <c r="Q202" s="790"/>
      <c r="R202" s="791"/>
      <c r="S202" s="791"/>
      <c r="T202" s="791"/>
      <c r="U202" s="791"/>
      <c r="V202" s="791"/>
      <c r="W202" s="791"/>
      <c r="X202" s="791"/>
      <c r="Y202" s="791"/>
      <c r="Z202" s="792"/>
      <c r="AA202" s="640"/>
      <c r="AB202" s="639"/>
      <c r="AC202" s="639"/>
      <c r="AD202" s="639"/>
      <c r="AE202" s="639"/>
      <c r="AF202" s="639"/>
      <c r="AG202" s="639"/>
      <c r="AH202" s="639"/>
      <c r="AI202" s="639"/>
      <c r="AJ202" s="639"/>
      <c r="AK202" s="639"/>
      <c r="AL202" s="639"/>
      <c r="AM202" s="639"/>
      <c r="AN202" s="639"/>
      <c r="AO202" s="639"/>
      <c r="AP202" s="639"/>
      <c r="AQ202" s="639"/>
      <c r="AR202" s="639"/>
      <c r="AS202" s="639"/>
      <c r="AT202" s="639"/>
      <c r="AU202" s="639"/>
      <c r="AV202" s="639"/>
      <c r="AW202" s="639"/>
      <c r="AX202" s="639"/>
      <c r="AY202" s="639"/>
      <c r="AZ202" s="639"/>
      <c r="BA202" s="639"/>
      <c r="BB202" s="639"/>
      <c r="BC202" s="639"/>
      <c r="BD202" s="639"/>
      <c r="BE202" s="639"/>
      <c r="BF202" s="639"/>
      <c r="BG202" s="639"/>
      <c r="BH202" s="639"/>
    </row>
    <row r="203" spans="2:60" s="256" customFormat="1" ht="12.75" customHeight="1">
      <c r="C203" s="787" t="s">
        <v>390</v>
      </c>
      <c r="D203" s="780"/>
      <c r="E203" s="780"/>
      <c r="F203" s="780"/>
      <c r="G203" s="780"/>
      <c r="H203" s="780"/>
      <c r="I203" s="780"/>
      <c r="J203" s="780"/>
      <c r="K203" s="780"/>
      <c r="L203" s="780"/>
      <c r="M203" s="780"/>
      <c r="N203" s="781"/>
      <c r="O203" s="442"/>
      <c r="P203" s="528" t="s">
        <v>2</v>
      </c>
      <c r="Q203" s="788"/>
      <c r="R203" s="740"/>
      <c r="S203" s="740"/>
      <c r="T203" s="740"/>
      <c r="U203" s="740"/>
      <c r="V203" s="740"/>
      <c r="W203" s="740"/>
      <c r="X203" s="740"/>
      <c r="Y203" s="740"/>
      <c r="Z203" s="741"/>
      <c r="AA203" s="397"/>
      <c r="AB203" s="342"/>
      <c r="AC203" s="342"/>
      <c r="AD203" s="342"/>
      <c r="AE203" s="342"/>
      <c r="AF203" s="342"/>
      <c r="AG203" s="342"/>
      <c r="AH203" s="342"/>
      <c r="AI203" s="342"/>
      <c r="AJ203" s="342"/>
      <c r="AK203" s="342"/>
      <c r="AL203" s="342"/>
      <c r="AM203" s="342"/>
      <c r="AN203" s="342"/>
      <c r="AO203" s="342"/>
      <c r="AP203" s="342"/>
      <c r="AQ203" s="342"/>
      <c r="AR203" s="342"/>
      <c r="AS203" s="342"/>
      <c r="AT203" s="342"/>
      <c r="AU203" s="342"/>
      <c r="AV203" s="342"/>
      <c r="AW203" s="342"/>
      <c r="AX203" s="342"/>
      <c r="AY203" s="342"/>
      <c r="AZ203" s="342"/>
      <c r="BA203" s="342"/>
      <c r="BB203" s="342"/>
      <c r="BC203" s="342"/>
      <c r="BD203" s="342"/>
      <c r="BE203" s="342"/>
      <c r="BF203" s="342"/>
      <c r="BG203" s="342"/>
      <c r="BH203" s="342"/>
    </row>
    <row r="204" spans="2:60" s="256" customFormat="1" ht="18.75" customHeight="1">
      <c r="C204" s="787" t="s">
        <v>391</v>
      </c>
      <c r="D204" s="780"/>
      <c r="E204" s="780"/>
      <c r="F204" s="780"/>
      <c r="G204" s="780"/>
      <c r="H204" s="780"/>
      <c r="I204" s="780"/>
      <c r="J204" s="780"/>
      <c r="K204" s="780"/>
      <c r="L204" s="780"/>
      <c r="M204" s="780"/>
      <c r="N204" s="781"/>
      <c r="O204" s="442"/>
      <c r="P204" s="528" t="s">
        <v>2</v>
      </c>
      <c r="Q204" s="788"/>
      <c r="R204" s="740"/>
      <c r="S204" s="740"/>
      <c r="T204" s="740"/>
      <c r="U204" s="740"/>
      <c r="V204" s="740"/>
      <c r="W204" s="740"/>
      <c r="X204" s="740"/>
      <c r="Y204" s="740"/>
      <c r="Z204" s="741"/>
      <c r="AA204" s="397"/>
      <c r="AB204" s="342"/>
      <c r="AC204" s="342"/>
      <c r="AD204" s="342"/>
      <c r="AE204" s="342"/>
      <c r="AF204" s="342"/>
      <c r="AG204" s="342"/>
      <c r="AH204" s="342"/>
      <c r="AI204" s="342"/>
      <c r="AJ204" s="342"/>
      <c r="AK204" s="342"/>
      <c r="AL204" s="342"/>
      <c r="AM204" s="342"/>
      <c r="AN204" s="342"/>
      <c r="AO204" s="342"/>
      <c r="AP204" s="342"/>
      <c r="AQ204" s="342"/>
      <c r="AR204" s="342"/>
      <c r="AS204" s="342"/>
      <c r="AT204" s="342"/>
      <c r="AU204" s="342"/>
      <c r="AV204" s="342"/>
      <c r="AW204" s="342"/>
      <c r="AX204" s="342"/>
      <c r="AY204" s="342"/>
      <c r="AZ204" s="342"/>
      <c r="BA204" s="342"/>
      <c r="BB204" s="342"/>
      <c r="BC204" s="342"/>
      <c r="BD204" s="342"/>
      <c r="BE204" s="342"/>
      <c r="BF204" s="342"/>
      <c r="BG204" s="342"/>
      <c r="BH204" s="342"/>
    </row>
    <row r="205" spans="2:60" s="256" customFormat="1" ht="12.75" customHeight="1">
      <c r="C205" s="787" t="s">
        <v>524</v>
      </c>
      <c r="D205" s="780"/>
      <c r="E205" s="780"/>
      <c r="F205" s="780"/>
      <c r="G205" s="780"/>
      <c r="H205" s="780"/>
      <c r="I205" s="780"/>
      <c r="J205" s="780"/>
      <c r="K205" s="780"/>
      <c r="L205" s="780"/>
      <c r="M205" s="780"/>
      <c r="N205" s="781"/>
      <c r="O205" s="442"/>
      <c r="P205" s="528" t="s">
        <v>2</v>
      </c>
      <c r="Q205" s="788"/>
      <c r="R205" s="740"/>
      <c r="S205" s="740"/>
      <c r="T205" s="740"/>
      <c r="U205" s="740"/>
      <c r="V205" s="740"/>
      <c r="W205" s="740"/>
      <c r="X205" s="740"/>
      <c r="Y205" s="740"/>
      <c r="Z205" s="741"/>
      <c r="AA205" s="397"/>
      <c r="AB205" s="342"/>
      <c r="AC205" s="342"/>
      <c r="AD205" s="342"/>
      <c r="AE205" s="342"/>
      <c r="AF205" s="342"/>
      <c r="AG205" s="342"/>
      <c r="AH205" s="342"/>
      <c r="AI205" s="342"/>
      <c r="AJ205" s="342"/>
      <c r="AK205" s="342"/>
      <c r="AL205" s="342"/>
      <c r="AM205" s="342"/>
      <c r="AN205" s="342"/>
      <c r="AO205" s="342"/>
      <c r="AP205" s="342"/>
      <c r="AQ205" s="342"/>
      <c r="AR205" s="342"/>
      <c r="AS205" s="342"/>
      <c r="AT205" s="342"/>
      <c r="AU205" s="342"/>
      <c r="AV205" s="342"/>
      <c r="AW205" s="342"/>
      <c r="AX205" s="342"/>
      <c r="AY205" s="342"/>
      <c r="AZ205" s="342"/>
      <c r="BA205" s="342"/>
      <c r="BB205" s="342"/>
      <c r="BC205" s="342"/>
      <c r="BD205" s="342"/>
      <c r="BE205" s="342"/>
      <c r="BF205" s="342"/>
      <c r="BG205" s="342"/>
      <c r="BH205" s="342"/>
    </row>
    <row r="206" spans="2:60" s="256" customFormat="1" ht="12.75" customHeight="1">
      <c r="C206" s="787" t="s">
        <v>525</v>
      </c>
      <c r="D206" s="780"/>
      <c r="E206" s="780"/>
      <c r="F206" s="780"/>
      <c r="G206" s="780"/>
      <c r="H206" s="780"/>
      <c r="I206" s="780"/>
      <c r="J206" s="780"/>
      <c r="K206" s="780"/>
      <c r="L206" s="780"/>
      <c r="M206" s="780"/>
      <c r="N206" s="781"/>
      <c r="O206" s="528" t="s">
        <v>2</v>
      </c>
      <c r="P206" s="442"/>
      <c r="Q206" s="793" t="s">
        <v>590</v>
      </c>
      <c r="R206" s="740"/>
      <c r="S206" s="740"/>
      <c r="T206" s="740"/>
      <c r="U206" s="740"/>
      <c r="V206" s="740"/>
      <c r="W206" s="740"/>
      <c r="X206" s="740"/>
      <c r="Y206" s="740"/>
      <c r="Z206" s="741"/>
      <c r="AA206" s="397"/>
      <c r="AB206" s="342"/>
      <c r="AC206" s="342"/>
      <c r="AD206" s="342"/>
      <c r="AE206" s="342"/>
      <c r="AF206" s="342"/>
      <c r="AG206" s="342"/>
      <c r="AH206" s="342"/>
      <c r="AI206" s="342"/>
      <c r="AJ206" s="342"/>
      <c r="AK206" s="342"/>
      <c r="AL206" s="342"/>
      <c r="AM206" s="342"/>
      <c r="AN206" s="342"/>
      <c r="AO206" s="342"/>
      <c r="AP206" s="342"/>
      <c r="AQ206" s="342"/>
      <c r="AR206" s="342"/>
      <c r="AS206" s="342"/>
      <c r="AT206" s="342"/>
      <c r="AU206" s="342"/>
      <c r="AV206" s="342"/>
      <c r="AW206" s="342"/>
      <c r="AX206" s="342"/>
      <c r="AY206" s="342"/>
      <c r="AZ206" s="342"/>
      <c r="BA206" s="342"/>
      <c r="BB206" s="342"/>
      <c r="BC206" s="342"/>
      <c r="BD206" s="342"/>
      <c r="BE206" s="342"/>
      <c r="BF206" s="342"/>
      <c r="BG206" s="342"/>
      <c r="BH206" s="342"/>
    </row>
    <row r="207" spans="2:60" s="256" customFormat="1" ht="42.75" customHeight="1">
      <c r="C207" s="787" t="s">
        <v>526</v>
      </c>
      <c r="D207" s="780"/>
      <c r="E207" s="780"/>
      <c r="F207" s="780"/>
      <c r="G207" s="780"/>
      <c r="H207" s="780"/>
      <c r="I207" s="780"/>
      <c r="J207" s="780"/>
      <c r="K207" s="780"/>
      <c r="L207" s="780"/>
      <c r="M207" s="780"/>
      <c r="N207" s="781"/>
      <c r="O207" s="442"/>
      <c r="P207" s="528" t="s">
        <v>2</v>
      </c>
      <c r="Q207" s="739" t="s">
        <v>527</v>
      </c>
      <c r="R207" s="740"/>
      <c r="S207" s="740"/>
      <c r="T207" s="740"/>
      <c r="U207" s="740"/>
      <c r="V207" s="740"/>
      <c r="W207" s="740"/>
      <c r="X207" s="740"/>
      <c r="Y207" s="740"/>
      <c r="Z207" s="741"/>
      <c r="AA207" s="397"/>
      <c r="AB207" s="342"/>
      <c r="AC207" s="342"/>
      <c r="AD207" s="342"/>
      <c r="AE207" s="342"/>
      <c r="AF207" s="342"/>
      <c r="AG207" s="342"/>
      <c r="AH207" s="342"/>
      <c r="AI207" s="342"/>
      <c r="AJ207" s="342"/>
      <c r="AK207" s="342"/>
      <c r="AL207" s="342"/>
      <c r="AM207" s="342"/>
      <c r="AN207" s="342"/>
      <c r="AO207" s="342"/>
      <c r="AP207" s="342"/>
      <c r="AQ207" s="342"/>
      <c r="AR207" s="342"/>
      <c r="AS207" s="342"/>
      <c r="AT207" s="342"/>
      <c r="AU207" s="342"/>
      <c r="AV207" s="342"/>
      <c r="AW207" s="342"/>
      <c r="AX207" s="342"/>
      <c r="AY207" s="342"/>
      <c r="AZ207" s="342"/>
      <c r="BA207" s="342"/>
      <c r="BB207" s="342"/>
      <c r="BC207" s="342"/>
      <c r="BD207" s="342"/>
      <c r="BE207" s="342"/>
      <c r="BF207" s="342"/>
      <c r="BG207" s="342"/>
      <c r="BH207" s="342"/>
    </row>
    <row r="208" spans="2:60" s="256" customFormat="1" ht="12.75" customHeight="1">
      <c r="C208" s="787" t="s">
        <v>392</v>
      </c>
      <c r="D208" s="780"/>
      <c r="E208" s="780"/>
      <c r="F208" s="780"/>
      <c r="G208" s="780"/>
      <c r="H208" s="780"/>
      <c r="I208" s="780"/>
      <c r="J208" s="780"/>
      <c r="K208" s="780"/>
      <c r="L208" s="780"/>
      <c r="M208" s="780"/>
      <c r="N208" s="781"/>
      <c r="O208" s="528" t="s">
        <v>2</v>
      </c>
      <c r="P208" s="442"/>
      <c r="Q208" s="788"/>
      <c r="R208" s="740"/>
      <c r="S208" s="740"/>
      <c r="T208" s="740"/>
      <c r="U208" s="740"/>
      <c r="V208" s="740"/>
      <c r="W208" s="740"/>
      <c r="X208" s="740"/>
      <c r="Y208" s="740"/>
      <c r="Z208" s="741"/>
      <c r="AA208" s="397"/>
      <c r="AB208" s="342"/>
      <c r="AC208" s="342"/>
      <c r="AD208" s="342"/>
      <c r="AE208" s="342"/>
      <c r="AF208" s="342"/>
      <c r="AG208" s="342"/>
      <c r="AH208" s="342"/>
      <c r="AI208" s="342"/>
      <c r="AJ208" s="342"/>
      <c r="AK208" s="342"/>
      <c r="AL208" s="342"/>
      <c r="AM208" s="342"/>
      <c r="AN208" s="342"/>
      <c r="AO208" s="342"/>
      <c r="AP208" s="342"/>
      <c r="AQ208" s="342"/>
      <c r="AR208" s="342"/>
      <c r="AS208" s="342"/>
      <c r="AT208" s="342"/>
      <c r="AU208" s="342"/>
      <c r="AV208" s="342"/>
      <c r="AW208" s="342"/>
      <c r="AX208" s="342"/>
      <c r="AY208" s="342"/>
      <c r="AZ208" s="342"/>
      <c r="BA208" s="342"/>
      <c r="BB208" s="342"/>
      <c r="BC208" s="342"/>
      <c r="BD208" s="342"/>
      <c r="BE208" s="342"/>
      <c r="BF208" s="342"/>
      <c r="BG208" s="342"/>
      <c r="BH208" s="342"/>
    </row>
    <row r="209" spans="1:60" s="256" customFormat="1" ht="12.75" customHeight="1">
      <c r="C209" s="787" t="s">
        <v>528</v>
      </c>
      <c r="D209" s="780"/>
      <c r="E209" s="780"/>
      <c r="F209" s="780"/>
      <c r="G209" s="780"/>
      <c r="H209" s="780"/>
      <c r="I209" s="780"/>
      <c r="J209" s="780"/>
      <c r="K209" s="780"/>
      <c r="L209" s="780"/>
      <c r="M209" s="780"/>
      <c r="N209" s="781"/>
      <c r="O209" s="528" t="s">
        <v>2</v>
      </c>
      <c r="P209" s="442"/>
      <c r="Q209" s="788"/>
      <c r="R209" s="740"/>
      <c r="S209" s="740"/>
      <c r="T209" s="740"/>
      <c r="U209" s="740"/>
      <c r="V209" s="740"/>
      <c r="W209" s="740"/>
      <c r="X209" s="740"/>
      <c r="Y209" s="740"/>
      <c r="Z209" s="741"/>
      <c r="AA209" s="397"/>
      <c r="AB209" s="342"/>
      <c r="AC209" s="342"/>
      <c r="AD209" s="342"/>
      <c r="AE209" s="342"/>
      <c r="AF209" s="342"/>
      <c r="AG209" s="342"/>
      <c r="AH209" s="342"/>
      <c r="AI209" s="342"/>
      <c r="AJ209" s="342"/>
      <c r="AK209" s="342"/>
      <c r="AL209" s="342"/>
      <c r="AM209" s="342"/>
      <c r="AN209" s="342"/>
      <c r="AO209" s="342"/>
      <c r="AP209" s="342"/>
      <c r="AQ209" s="342"/>
      <c r="AR209" s="342"/>
      <c r="AS209" s="342"/>
      <c r="AT209" s="342"/>
      <c r="AU209" s="342"/>
      <c r="AV209" s="342"/>
      <c r="AW209" s="342"/>
      <c r="AX209" s="342"/>
      <c r="AY209" s="342"/>
      <c r="AZ209" s="342"/>
      <c r="BA209" s="342"/>
      <c r="BB209" s="342"/>
      <c r="BC209" s="342"/>
      <c r="BD209" s="342"/>
      <c r="BE209" s="342"/>
      <c r="BF209" s="342"/>
      <c r="BG209" s="342"/>
      <c r="BH209" s="342"/>
    </row>
    <row r="210" spans="1:60" s="256" customFormat="1" ht="12.75" customHeight="1">
      <c r="C210" s="787" t="s">
        <v>529</v>
      </c>
      <c r="D210" s="780"/>
      <c r="E210" s="780"/>
      <c r="F210" s="780"/>
      <c r="G210" s="780"/>
      <c r="H210" s="780"/>
      <c r="I210" s="780"/>
      <c r="J210" s="780"/>
      <c r="K210" s="780"/>
      <c r="L210" s="780"/>
      <c r="M210" s="780"/>
      <c r="N210" s="781"/>
      <c r="O210" s="442"/>
      <c r="P210" s="442"/>
      <c r="Q210" s="788"/>
      <c r="R210" s="740"/>
      <c r="S210" s="740"/>
      <c r="T210" s="740"/>
      <c r="U210" s="740"/>
      <c r="V210" s="740"/>
      <c r="W210" s="740"/>
      <c r="X210" s="740"/>
      <c r="Y210" s="740"/>
      <c r="Z210" s="741"/>
      <c r="AA210" s="397"/>
      <c r="AB210" s="342"/>
      <c r="AC210" s="342"/>
      <c r="AD210" s="342"/>
      <c r="AE210" s="342"/>
      <c r="AF210" s="342"/>
      <c r="AG210" s="342"/>
      <c r="AH210" s="342"/>
      <c r="AI210" s="342"/>
      <c r="AJ210" s="342"/>
      <c r="AK210" s="342"/>
      <c r="AL210" s="342"/>
      <c r="AM210" s="342"/>
      <c r="AN210" s="342"/>
      <c r="AO210" s="342"/>
      <c r="AP210" s="342"/>
      <c r="AQ210" s="342"/>
      <c r="AR210" s="342"/>
      <c r="AS210" s="342"/>
      <c r="AT210" s="342"/>
      <c r="AU210" s="342"/>
      <c r="AV210" s="342"/>
      <c r="AW210" s="342"/>
      <c r="AX210" s="342"/>
      <c r="AY210" s="342"/>
      <c r="AZ210" s="342"/>
      <c r="BA210" s="342"/>
      <c r="BB210" s="342"/>
      <c r="BC210" s="342"/>
      <c r="BD210" s="342"/>
      <c r="BE210" s="342"/>
      <c r="BF210" s="342"/>
      <c r="BG210" s="342"/>
      <c r="BH210" s="342"/>
    </row>
    <row r="211" spans="1:60" s="256" customFormat="1" ht="12.75" customHeight="1">
      <c r="C211" s="779" t="s">
        <v>530</v>
      </c>
      <c r="D211" s="780"/>
      <c r="E211" s="780"/>
      <c r="F211" s="780"/>
      <c r="G211" s="780"/>
      <c r="H211" s="780"/>
      <c r="I211" s="780"/>
      <c r="J211" s="780"/>
      <c r="K211" s="780"/>
      <c r="L211" s="780"/>
      <c r="M211" s="780"/>
      <c r="N211" s="781"/>
      <c r="O211" s="442"/>
      <c r="P211" s="528" t="s">
        <v>2</v>
      </c>
      <c r="Q211" s="788"/>
      <c r="R211" s="740"/>
      <c r="S211" s="740"/>
      <c r="T211" s="740"/>
      <c r="U211" s="740"/>
      <c r="V211" s="740"/>
      <c r="W211" s="740"/>
      <c r="X211" s="740"/>
      <c r="Y211" s="740"/>
      <c r="Z211" s="741"/>
      <c r="AA211" s="397"/>
      <c r="AB211" s="342"/>
      <c r="AC211" s="342"/>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2"/>
      <c r="AY211" s="342"/>
      <c r="AZ211" s="342"/>
      <c r="BA211" s="342"/>
      <c r="BB211" s="342"/>
      <c r="BC211" s="342"/>
      <c r="BD211" s="342"/>
      <c r="BE211" s="342"/>
      <c r="BF211" s="342"/>
      <c r="BG211" s="342"/>
      <c r="BH211" s="342"/>
    </row>
    <row r="212" spans="1:60" s="256" customFormat="1" ht="12.75" customHeight="1">
      <c r="C212" s="787" t="s">
        <v>531</v>
      </c>
      <c r="D212" s="780"/>
      <c r="E212" s="780"/>
      <c r="F212" s="780"/>
      <c r="G212" s="780"/>
      <c r="H212" s="780"/>
      <c r="I212" s="780"/>
      <c r="J212" s="780"/>
      <c r="K212" s="780"/>
      <c r="L212" s="780"/>
      <c r="M212" s="780"/>
      <c r="N212" s="781"/>
      <c r="O212" s="928" t="s">
        <v>2</v>
      </c>
      <c r="P212" s="929"/>
      <c r="Q212" s="342"/>
      <c r="R212" s="342"/>
      <c r="S212" s="342"/>
      <c r="T212" s="342"/>
      <c r="U212" s="342"/>
      <c r="V212" s="342"/>
      <c r="W212" s="342"/>
      <c r="X212" s="342"/>
      <c r="Y212" s="342"/>
      <c r="Z212" s="342"/>
      <c r="AA212" s="397"/>
      <c r="AB212" s="342"/>
      <c r="AC212" s="342"/>
      <c r="AD212" s="342"/>
      <c r="AE212" s="342"/>
      <c r="AF212" s="342"/>
      <c r="AG212" s="342"/>
      <c r="AH212" s="342"/>
      <c r="AI212" s="342"/>
      <c r="AJ212" s="342"/>
      <c r="AK212" s="342"/>
      <c r="AL212" s="342"/>
      <c r="AM212" s="342"/>
      <c r="AN212" s="342"/>
      <c r="AO212" s="342"/>
      <c r="AP212" s="342"/>
      <c r="AQ212" s="342"/>
      <c r="AR212" s="342"/>
      <c r="AS212" s="342"/>
      <c r="AT212" s="342"/>
      <c r="AU212" s="342"/>
      <c r="AV212" s="342"/>
      <c r="AW212" s="342"/>
      <c r="AX212" s="342"/>
      <c r="AY212" s="342"/>
      <c r="AZ212" s="342"/>
      <c r="BA212" s="342"/>
      <c r="BB212" s="342"/>
      <c r="BC212" s="342"/>
      <c r="BD212" s="342"/>
      <c r="BE212" s="342"/>
      <c r="BF212" s="342"/>
      <c r="BG212" s="342"/>
      <c r="BH212" s="342"/>
    </row>
    <row r="213" spans="1:60" s="256" customFormat="1" ht="12.75" customHeight="1" thickBot="1">
      <c r="C213" s="930" t="s">
        <v>393</v>
      </c>
      <c r="D213" s="931"/>
      <c r="E213" s="931"/>
      <c r="F213" s="931"/>
      <c r="G213" s="931"/>
      <c r="H213" s="931"/>
      <c r="I213" s="931"/>
      <c r="J213" s="780"/>
      <c r="K213" s="780"/>
      <c r="L213" s="780"/>
      <c r="M213" s="780"/>
      <c r="N213" s="781"/>
      <c r="O213" s="932" t="s">
        <v>2</v>
      </c>
      <c r="P213" s="933"/>
      <c r="Q213" s="342"/>
      <c r="R213" s="342"/>
      <c r="S213" s="342"/>
      <c r="T213" s="342"/>
      <c r="U213" s="342"/>
      <c r="V213" s="342"/>
      <c r="W213" s="342"/>
      <c r="X213" s="342"/>
      <c r="Y213" s="342"/>
      <c r="Z213" s="342"/>
      <c r="AA213" s="397"/>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2"/>
      <c r="AY213" s="342"/>
      <c r="AZ213" s="342"/>
      <c r="BA213" s="342"/>
      <c r="BB213" s="342"/>
      <c r="BC213" s="342"/>
      <c r="BD213" s="342"/>
      <c r="BE213" s="342"/>
      <c r="BF213" s="342"/>
      <c r="BG213" s="342"/>
      <c r="BH213" s="342"/>
    </row>
    <row r="214" spans="1:60" s="256" customFormat="1" ht="12.75" customHeight="1">
      <c r="C214" s="915" t="s">
        <v>532</v>
      </c>
      <c r="D214" s="916"/>
      <c r="E214" s="916"/>
      <c r="F214" s="916"/>
      <c r="G214" s="916"/>
      <c r="H214" s="916"/>
      <c r="I214" s="917"/>
      <c r="AA214" s="397"/>
      <c r="AB214" s="342"/>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2"/>
      <c r="AY214" s="342"/>
      <c r="AZ214" s="342"/>
      <c r="BA214" s="342"/>
      <c r="BB214" s="342"/>
      <c r="BC214" s="342"/>
      <c r="BD214" s="342"/>
      <c r="BE214" s="342"/>
      <c r="BF214" s="342"/>
      <c r="BG214" s="342"/>
      <c r="BH214" s="342"/>
    </row>
    <row r="215" spans="1:60" s="256" customFormat="1" ht="13.5" customHeight="1" thickBot="1">
      <c r="C215" s="918"/>
      <c r="D215" s="919"/>
      <c r="E215" s="919"/>
      <c r="F215" s="919"/>
      <c r="G215" s="919"/>
      <c r="H215" s="919"/>
      <c r="I215" s="920"/>
      <c r="AA215" s="397"/>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342"/>
      <c r="AY215" s="342"/>
      <c r="AZ215" s="342"/>
      <c r="BA215" s="342"/>
      <c r="BB215" s="342"/>
      <c r="BC215" s="342"/>
      <c r="BD215" s="342"/>
      <c r="BE215" s="342"/>
      <c r="BF215" s="342"/>
      <c r="BG215" s="342"/>
      <c r="BH215" s="342"/>
    </row>
    <row r="216" spans="1:60" s="256" customFormat="1" ht="13.5" customHeight="1">
      <c r="AA216" s="397"/>
      <c r="AB216" s="342"/>
      <c r="AC216" s="342"/>
      <c r="AD216" s="342"/>
      <c r="AE216" s="342"/>
      <c r="AF216" s="342"/>
      <c r="AG216" s="342"/>
      <c r="AH216" s="342"/>
      <c r="AI216" s="342"/>
      <c r="AJ216" s="342"/>
      <c r="AK216" s="342"/>
      <c r="AL216" s="342"/>
      <c r="AM216" s="342"/>
      <c r="AN216" s="342"/>
      <c r="AO216" s="342"/>
      <c r="AP216" s="342"/>
      <c r="AQ216" s="342"/>
      <c r="AR216" s="342"/>
      <c r="AS216" s="342"/>
      <c r="AT216" s="342"/>
      <c r="AU216" s="342"/>
      <c r="AV216" s="342"/>
      <c r="AW216" s="342"/>
      <c r="AX216" s="342"/>
      <c r="AY216" s="342"/>
      <c r="AZ216" s="342"/>
      <c r="BA216" s="342"/>
      <c r="BB216" s="342"/>
      <c r="BC216" s="342"/>
      <c r="BD216" s="342"/>
      <c r="BE216" s="342"/>
      <c r="BF216" s="342"/>
      <c r="BG216" s="342"/>
      <c r="BH216" s="342"/>
    </row>
    <row r="217" spans="1:60" s="256" customFormat="1" ht="13.5" customHeight="1">
      <c r="AA217" s="397"/>
      <c r="AB217" s="342"/>
      <c r="AC217" s="342"/>
      <c r="AD217" s="342"/>
      <c r="AE217" s="342"/>
      <c r="AF217" s="342"/>
      <c r="AG217" s="342"/>
      <c r="AH217" s="342"/>
      <c r="AI217" s="342"/>
      <c r="AJ217" s="342"/>
      <c r="AK217" s="342"/>
      <c r="AL217" s="342"/>
      <c r="AM217" s="342"/>
      <c r="AN217" s="342"/>
      <c r="AO217" s="342"/>
      <c r="AP217" s="342"/>
      <c r="AQ217" s="342"/>
      <c r="AR217" s="342"/>
      <c r="AS217" s="342"/>
      <c r="AT217" s="342"/>
      <c r="AU217" s="342"/>
      <c r="AV217" s="342"/>
      <c r="AW217" s="342"/>
      <c r="AX217" s="342"/>
      <c r="AY217" s="342"/>
      <c r="AZ217" s="342"/>
      <c r="BA217" s="342"/>
      <c r="BB217" s="342"/>
      <c r="BC217" s="342"/>
      <c r="BD217" s="342"/>
      <c r="BE217" s="342"/>
      <c r="BF217" s="342"/>
      <c r="BG217" s="342"/>
      <c r="BH217" s="342"/>
    </row>
    <row r="218" spans="1:60" s="256" customFormat="1" ht="6" hidden="1" customHeight="1">
      <c r="AA218" s="397"/>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42"/>
      <c r="AY218" s="342"/>
      <c r="AZ218" s="342"/>
      <c r="BA218" s="342"/>
      <c r="BB218" s="342"/>
      <c r="BC218" s="342"/>
      <c r="BD218" s="342"/>
      <c r="BE218" s="342"/>
      <c r="BF218" s="342"/>
      <c r="BG218" s="342"/>
      <c r="BH218" s="342"/>
    </row>
    <row r="219" spans="1:60" s="261" customFormat="1" ht="8.25" customHeight="1" thickBot="1">
      <c r="AA219" s="529"/>
      <c r="AB219" s="530"/>
      <c r="AC219" s="530"/>
      <c r="AD219" s="530"/>
      <c r="AE219" s="530"/>
      <c r="AF219" s="530"/>
      <c r="AG219" s="530"/>
      <c r="AH219" s="530"/>
      <c r="AI219" s="530"/>
      <c r="AJ219" s="530"/>
      <c r="AK219" s="530"/>
      <c r="AL219" s="530"/>
      <c r="AM219" s="530"/>
      <c r="AN219" s="530"/>
      <c r="AO219" s="530"/>
      <c r="AP219" s="530"/>
      <c r="AQ219" s="530"/>
      <c r="AR219" s="530"/>
      <c r="AS219" s="530"/>
      <c r="AT219" s="530"/>
      <c r="AU219" s="530"/>
      <c r="AV219" s="530"/>
      <c r="AW219" s="530"/>
      <c r="AX219" s="530"/>
      <c r="AY219" s="530"/>
      <c r="AZ219" s="530"/>
      <c r="BA219" s="530"/>
      <c r="BB219" s="530"/>
      <c r="BC219" s="530"/>
      <c r="BD219" s="530"/>
      <c r="BE219" s="530"/>
      <c r="BF219" s="530"/>
      <c r="BG219" s="530"/>
      <c r="BH219" s="530"/>
    </row>
    <row r="220" spans="1:60" s="256" customFormat="1" ht="26.25">
      <c r="A220" s="453" t="s">
        <v>394</v>
      </c>
      <c r="B220" s="245"/>
      <c r="C220" s="245"/>
      <c r="D220" s="245"/>
      <c r="E220" s="245"/>
      <c r="F220" s="245"/>
      <c r="G220" s="245"/>
      <c r="H220" s="245"/>
      <c r="AA220" s="397"/>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2"/>
      <c r="AY220" s="342"/>
      <c r="AZ220" s="342"/>
      <c r="BA220" s="342"/>
      <c r="BB220" s="342"/>
      <c r="BC220" s="342"/>
      <c r="BD220" s="342"/>
      <c r="BE220" s="342"/>
      <c r="BF220" s="342"/>
      <c r="BG220" s="342"/>
      <c r="BH220" s="342"/>
    </row>
    <row r="221" spans="1:60" s="256" customFormat="1" ht="6" customHeight="1">
      <c r="A221" s="245"/>
      <c r="B221" s="245"/>
      <c r="C221" s="245"/>
      <c r="D221" s="245"/>
      <c r="E221" s="245"/>
      <c r="F221" s="245"/>
      <c r="G221" s="245"/>
      <c r="H221" s="245"/>
      <c r="J221" s="531"/>
      <c r="AA221" s="397"/>
      <c r="AB221" s="342"/>
      <c r="AC221" s="342"/>
      <c r="AD221" s="342"/>
      <c r="AE221" s="342"/>
      <c r="AF221" s="342"/>
      <c r="AG221" s="342"/>
      <c r="AH221" s="342"/>
      <c r="AI221" s="342"/>
      <c r="AJ221" s="342"/>
      <c r="AK221" s="342"/>
      <c r="AL221" s="342"/>
      <c r="AM221" s="342"/>
      <c r="AN221" s="342"/>
      <c r="AO221" s="342"/>
      <c r="AP221" s="342"/>
      <c r="AQ221" s="342"/>
      <c r="AR221" s="342"/>
      <c r="AS221" s="342"/>
      <c r="AT221" s="342"/>
      <c r="AU221" s="342"/>
      <c r="AV221" s="342"/>
      <c r="AW221" s="342"/>
      <c r="AX221" s="342"/>
      <c r="AY221" s="342"/>
      <c r="AZ221" s="342"/>
      <c r="BA221" s="342"/>
      <c r="BB221" s="342"/>
      <c r="BC221" s="342"/>
      <c r="BD221" s="342"/>
      <c r="BE221" s="342"/>
      <c r="BF221" s="342"/>
      <c r="BG221" s="342"/>
      <c r="BH221" s="342"/>
    </row>
    <row r="222" spans="1:60" s="256" customFormat="1" ht="1.5" customHeight="1">
      <c r="A222" s="245"/>
      <c r="B222" s="245"/>
      <c r="C222" s="245"/>
      <c r="D222" s="245"/>
      <c r="E222" s="245"/>
      <c r="F222" s="245"/>
      <c r="G222" s="245"/>
      <c r="H222" s="245"/>
      <c r="AA222" s="397"/>
      <c r="AB222" s="342"/>
      <c r="AC222" s="342"/>
      <c r="AD222" s="342"/>
      <c r="AE222" s="342"/>
      <c r="AF222" s="342"/>
      <c r="AG222" s="342"/>
      <c r="AH222" s="342"/>
      <c r="AI222" s="342"/>
      <c r="AJ222" s="342"/>
      <c r="AK222" s="342"/>
      <c r="AL222" s="342"/>
      <c r="AM222" s="342"/>
      <c r="AN222" s="342"/>
      <c r="AO222" s="342"/>
      <c r="AP222" s="342"/>
      <c r="AQ222" s="342"/>
      <c r="AR222" s="342"/>
      <c r="AS222" s="342"/>
      <c r="AT222" s="342"/>
      <c r="AU222" s="342"/>
      <c r="AV222" s="342"/>
      <c r="AW222" s="342"/>
      <c r="AX222" s="342"/>
      <c r="AY222" s="342"/>
      <c r="AZ222" s="342"/>
      <c r="BA222" s="342"/>
      <c r="BB222" s="342"/>
      <c r="BC222" s="342"/>
      <c r="BD222" s="342"/>
      <c r="BE222" s="342"/>
      <c r="BF222" s="342"/>
      <c r="BG222" s="342"/>
      <c r="BH222" s="342"/>
    </row>
    <row r="223" spans="1:60" s="256" customFormat="1">
      <c r="A223" s="245"/>
      <c r="B223" s="282" t="s">
        <v>395</v>
      </c>
      <c r="C223" s="245"/>
      <c r="D223" s="245"/>
      <c r="E223" s="245"/>
      <c r="F223" s="245"/>
      <c r="G223" s="245"/>
      <c r="H223" s="245"/>
      <c r="AA223" s="397"/>
      <c r="AB223" s="342"/>
      <c r="AC223" s="342"/>
      <c r="AD223" s="342"/>
      <c r="AE223" s="342"/>
      <c r="AF223" s="342"/>
      <c r="AG223" s="342"/>
      <c r="AH223" s="342"/>
      <c r="AI223" s="342"/>
      <c r="AJ223" s="342"/>
      <c r="AK223" s="342"/>
      <c r="AL223" s="342"/>
      <c r="AM223" s="342"/>
      <c r="AN223" s="342"/>
      <c r="AO223" s="342"/>
      <c r="AP223" s="342"/>
      <c r="AQ223" s="342"/>
      <c r="AR223" s="342"/>
      <c r="AS223" s="342"/>
      <c r="AT223" s="342"/>
      <c r="AU223" s="342"/>
      <c r="AV223" s="342"/>
      <c r="AW223" s="342"/>
      <c r="AX223" s="342"/>
      <c r="AY223" s="342"/>
      <c r="AZ223" s="342"/>
      <c r="BA223" s="342"/>
      <c r="BB223" s="342"/>
      <c r="BC223" s="342"/>
      <c r="BD223" s="342"/>
      <c r="BE223" s="342"/>
      <c r="BF223" s="342"/>
      <c r="BG223" s="342"/>
      <c r="BH223" s="342"/>
    </row>
    <row r="224" spans="1:60" s="256" customFormat="1" ht="5.25" customHeight="1">
      <c r="A224" s="245"/>
      <c r="B224" s="282"/>
      <c r="C224" s="245"/>
      <c r="D224" s="245"/>
      <c r="E224" s="245"/>
      <c r="F224" s="245"/>
      <c r="G224" s="245"/>
      <c r="H224" s="245"/>
      <c r="AA224" s="397"/>
      <c r="AB224" s="342"/>
      <c r="AC224" s="342"/>
      <c r="AD224" s="342"/>
      <c r="AE224" s="342"/>
      <c r="AF224" s="342"/>
      <c r="AG224" s="342"/>
      <c r="AH224" s="342"/>
      <c r="AI224" s="342"/>
      <c r="AJ224" s="342"/>
      <c r="AK224" s="342"/>
      <c r="AL224" s="342"/>
      <c r="AM224" s="342"/>
      <c r="AN224" s="342"/>
      <c r="AO224" s="342"/>
      <c r="AP224" s="342"/>
      <c r="AQ224" s="342"/>
      <c r="AR224" s="342"/>
      <c r="AS224" s="342"/>
      <c r="AT224" s="342"/>
      <c r="AU224" s="342"/>
      <c r="AV224" s="342"/>
      <c r="AW224" s="342"/>
      <c r="AX224" s="342"/>
      <c r="AY224" s="342"/>
      <c r="AZ224" s="342"/>
      <c r="BA224" s="342"/>
      <c r="BB224" s="342"/>
      <c r="BC224" s="342"/>
      <c r="BD224" s="342"/>
      <c r="BE224" s="342"/>
      <c r="BF224" s="342"/>
      <c r="BG224" s="342"/>
      <c r="BH224" s="342"/>
    </row>
    <row r="225" spans="1:60" s="256" customFormat="1">
      <c r="A225" s="906" t="s">
        <v>533</v>
      </c>
      <c r="B225" s="907"/>
      <c r="C225" s="907"/>
      <c r="D225" s="907"/>
      <c r="E225" s="907"/>
      <c r="F225" s="907"/>
      <c r="G225" s="907"/>
      <c r="H225" s="907"/>
      <c r="I225" s="907"/>
      <c r="J225" s="907"/>
      <c r="K225" s="907"/>
      <c r="L225" s="907"/>
      <c r="M225" s="907"/>
      <c r="N225" s="907"/>
      <c r="O225" s="907"/>
      <c r="P225" s="907"/>
      <c r="Q225" s="907"/>
      <c r="R225" s="907"/>
      <c r="S225" s="907"/>
      <c r="T225" s="907"/>
      <c r="U225" s="907"/>
      <c r="V225" s="907"/>
      <c r="W225" s="907"/>
      <c r="X225" s="907"/>
      <c r="Y225" s="907"/>
      <c r="Z225" s="908"/>
      <c r="AA225" s="397"/>
      <c r="AB225" s="342"/>
      <c r="AC225" s="342"/>
      <c r="AD225" s="342"/>
      <c r="AE225" s="342"/>
      <c r="AF225" s="342"/>
      <c r="AG225" s="342"/>
      <c r="AH225" s="342"/>
      <c r="AI225" s="342"/>
      <c r="AJ225" s="342"/>
      <c r="AK225" s="342"/>
      <c r="AL225" s="342"/>
      <c r="AM225" s="342"/>
      <c r="AN225" s="342"/>
      <c r="AO225" s="342"/>
      <c r="AP225" s="342"/>
      <c r="AQ225" s="342"/>
      <c r="AR225" s="342"/>
      <c r="AS225" s="342"/>
      <c r="AT225" s="342"/>
      <c r="AU225" s="342"/>
      <c r="AV225" s="342"/>
      <c r="AW225" s="342"/>
      <c r="AX225" s="342"/>
      <c r="AY225" s="342"/>
      <c r="AZ225" s="342"/>
      <c r="BA225" s="342"/>
      <c r="BB225" s="342"/>
      <c r="BC225" s="342"/>
      <c r="BD225" s="342"/>
      <c r="BE225" s="342"/>
      <c r="BF225" s="342"/>
      <c r="BG225" s="342"/>
      <c r="BH225" s="342"/>
    </row>
    <row r="226" spans="1:60" s="256" customFormat="1" ht="6" customHeight="1">
      <c r="A226" s="245"/>
      <c r="B226" s="282"/>
      <c r="C226" s="245"/>
      <c r="D226" s="245"/>
      <c r="E226" s="245"/>
      <c r="F226" s="245"/>
      <c r="G226" s="245"/>
      <c r="H226" s="245"/>
      <c r="AA226" s="397"/>
      <c r="AB226" s="342"/>
      <c r="AC226" s="342"/>
      <c r="AD226" s="342"/>
      <c r="AE226" s="342"/>
      <c r="AF226" s="342"/>
      <c r="AG226" s="342"/>
      <c r="AH226" s="342"/>
      <c r="AI226" s="342"/>
      <c r="AJ226" s="342"/>
      <c r="AK226" s="342"/>
      <c r="AL226" s="342"/>
      <c r="AM226" s="342"/>
      <c r="AN226" s="342"/>
      <c r="AO226" s="342"/>
      <c r="AP226" s="342"/>
      <c r="AQ226" s="342"/>
      <c r="AR226" s="342"/>
      <c r="AS226" s="342"/>
      <c r="AT226" s="342"/>
      <c r="AU226" s="342"/>
      <c r="AV226" s="342"/>
      <c r="AW226" s="342"/>
      <c r="AX226" s="342"/>
      <c r="AY226" s="342"/>
      <c r="AZ226" s="342"/>
      <c r="BA226" s="342"/>
      <c r="BB226" s="342"/>
      <c r="BC226" s="342"/>
      <c r="BD226" s="342"/>
      <c r="BE226" s="342"/>
      <c r="BF226" s="342"/>
      <c r="BG226" s="342"/>
      <c r="BH226" s="342"/>
    </row>
    <row r="227" spans="1:60" s="256" customFormat="1">
      <c r="A227" s="245"/>
      <c r="B227" s="410" t="s">
        <v>388</v>
      </c>
      <c r="C227" s="442"/>
      <c r="D227" s="410" t="s">
        <v>2</v>
      </c>
      <c r="E227" s="528"/>
      <c r="F227" s="245" t="s">
        <v>389</v>
      </c>
      <c r="G227" s="245"/>
      <c r="H227" s="245"/>
      <c r="AA227" s="397"/>
      <c r="AB227" s="342"/>
      <c r="AC227" s="342"/>
      <c r="AD227" s="342"/>
      <c r="AE227" s="342"/>
      <c r="AF227" s="342"/>
      <c r="AG227" s="342"/>
      <c r="AH227" s="342"/>
      <c r="AI227" s="342"/>
      <c r="AJ227" s="342"/>
      <c r="AK227" s="342"/>
      <c r="AL227" s="342"/>
      <c r="AM227" s="342"/>
      <c r="AN227" s="342"/>
      <c r="AO227" s="342"/>
      <c r="AP227" s="342"/>
      <c r="AQ227" s="342"/>
      <c r="AR227" s="342"/>
      <c r="AS227" s="342"/>
      <c r="AT227" s="342"/>
      <c r="AU227" s="342"/>
      <c r="AV227" s="342"/>
      <c r="AW227" s="342"/>
      <c r="AX227" s="342"/>
      <c r="AY227" s="342"/>
      <c r="AZ227" s="342"/>
      <c r="BA227" s="342"/>
      <c r="BB227" s="342"/>
      <c r="BC227" s="342"/>
      <c r="BD227" s="342"/>
      <c r="BE227" s="342"/>
      <c r="BF227" s="342"/>
      <c r="BG227" s="342"/>
      <c r="BH227" s="342"/>
    </row>
    <row r="228" spans="1:60" s="256" customFormat="1">
      <c r="A228" s="245"/>
      <c r="B228" s="282"/>
      <c r="C228" s="245"/>
      <c r="D228" s="245"/>
      <c r="E228" s="245"/>
      <c r="F228" s="245"/>
      <c r="G228" s="245"/>
      <c r="H228" s="245"/>
      <c r="AA228" s="397"/>
      <c r="AB228" s="342"/>
      <c r="AC228" s="342"/>
      <c r="AD228" s="342"/>
      <c r="AE228" s="342"/>
      <c r="AF228" s="342"/>
      <c r="AG228" s="342"/>
      <c r="AH228" s="342"/>
      <c r="AI228" s="342"/>
      <c r="AJ228" s="342"/>
      <c r="AK228" s="342"/>
      <c r="AL228" s="342"/>
      <c r="AM228" s="342"/>
      <c r="AN228" s="342"/>
      <c r="AO228" s="342"/>
      <c r="AP228" s="342"/>
      <c r="AQ228" s="342"/>
      <c r="AR228" s="342"/>
      <c r="AS228" s="342"/>
      <c r="AT228" s="342"/>
      <c r="AU228" s="342"/>
      <c r="AV228" s="342"/>
      <c r="AW228" s="342"/>
      <c r="AX228" s="342"/>
      <c r="AY228" s="342"/>
      <c r="AZ228" s="342"/>
      <c r="BA228" s="342"/>
      <c r="BB228" s="342"/>
      <c r="BC228" s="342"/>
      <c r="BD228" s="342"/>
      <c r="BE228" s="342"/>
      <c r="BF228" s="342"/>
      <c r="BG228" s="342"/>
      <c r="BH228" s="342"/>
    </row>
    <row r="229" spans="1:60" s="256" customFormat="1" ht="12.75" customHeight="1">
      <c r="A229" s="906" t="s">
        <v>396</v>
      </c>
      <c r="B229" s="907"/>
      <c r="C229" s="907"/>
      <c r="D229" s="907"/>
      <c r="E229" s="907"/>
      <c r="F229" s="907"/>
      <c r="G229" s="907"/>
      <c r="H229" s="907"/>
      <c r="I229" s="907"/>
      <c r="J229" s="907"/>
      <c r="K229" s="907"/>
      <c r="L229" s="907"/>
      <c r="M229" s="907"/>
      <c r="N229" s="907"/>
      <c r="O229" s="907"/>
      <c r="P229" s="907"/>
      <c r="Q229" s="907"/>
      <c r="R229" s="907"/>
      <c r="S229" s="907"/>
      <c r="T229" s="907"/>
      <c r="U229" s="907"/>
      <c r="V229" s="907"/>
      <c r="W229" s="907"/>
      <c r="X229" s="907"/>
      <c r="Y229" s="907"/>
      <c r="Z229" s="908"/>
      <c r="AA229" s="397"/>
      <c r="AB229" s="342"/>
      <c r="AC229" s="342"/>
      <c r="AD229" s="342"/>
      <c r="AE229" s="342"/>
      <c r="AF229" s="342"/>
      <c r="AG229" s="342"/>
      <c r="AH229" s="342"/>
      <c r="AI229" s="342"/>
      <c r="AJ229" s="342"/>
      <c r="AK229" s="342"/>
      <c r="AL229" s="342"/>
      <c r="AM229" s="342"/>
      <c r="AN229" s="342"/>
      <c r="AO229" s="342"/>
      <c r="AP229" s="342"/>
      <c r="AQ229" s="342"/>
      <c r="AR229" s="342"/>
      <c r="AS229" s="342"/>
      <c r="AT229" s="342"/>
      <c r="AU229" s="342"/>
      <c r="AV229" s="342"/>
      <c r="AW229" s="342"/>
      <c r="AX229" s="342"/>
      <c r="AY229" s="342"/>
      <c r="AZ229" s="342"/>
      <c r="BA229" s="342"/>
      <c r="BB229" s="342"/>
      <c r="BC229" s="342"/>
      <c r="BD229" s="342"/>
      <c r="BE229" s="342"/>
      <c r="BF229" s="342"/>
      <c r="BG229" s="342"/>
      <c r="BH229" s="342"/>
    </row>
    <row r="230" spans="1:60" s="256" customFormat="1" ht="6.75" customHeight="1">
      <c r="A230" s="245"/>
      <c r="B230" s="282"/>
      <c r="C230" s="245"/>
      <c r="D230" s="245"/>
      <c r="E230" s="245"/>
      <c r="F230" s="245"/>
      <c r="G230" s="245"/>
      <c r="H230" s="245"/>
      <c r="AA230" s="397"/>
      <c r="AB230" s="342"/>
      <c r="AC230" s="342"/>
      <c r="AD230" s="342"/>
      <c r="AE230" s="342"/>
      <c r="AF230" s="342"/>
      <c r="AG230" s="342"/>
      <c r="AH230" s="342"/>
      <c r="AI230" s="342"/>
      <c r="AJ230" s="342"/>
      <c r="AK230" s="342"/>
      <c r="AL230" s="342"/>
      <c r="AM230" s="342"/>
      <c r="AN230" s="342"/>
      <c r="AO230" s="342"/>
      <c r="AP230" s="342"/>
      <c r="AQ230" s="342"/>
      <c r="AR230" s="342"/>
      <c r="AS230" s="342"/>
      <c r="AT230" s="342"/>
      <c r="AU230" s="342"/>
      <c r="AV230" s="342"/>
      <c r="AW230" s="342"/>
      <c r="AX230" s="342"/>
      <c r="AY230" s="342"/>
      <c r="AZ230" s="342"/>
      <c r="BA230" s="342"/>
      <c r="BB230" s="342"/>
      <c r="BC230" s="342"/>
      <c r="BD230" s="342"/>
      <c r="BE230" s="342"/>
      <c r="BF230" s="342"/>
      <c r="BG230" s="342"/>
      <c r="BH230" s="342"/>
    </row>
    <row r="231" spans="1:60" s="256" customFormat="1">
      <c r="A231" s="245"/>
      <c r="B231" s="410" t="s">
        <v>388</v>
      </c>
      <c r="C231" s="442"/>
      <c r="D231" s="410" t="s">
        <v>2</v>
      </c>
      <c r="E231" s="528"/>
      <c r="F231" s="245" t="s">
        <v>389</v>
      </c>
      <c r="G231" s="245"/>
      <c r="H231" s="245"/>
      <c r="AA231" s="397"/>
      <c r="AB231" s="342"/>
      <c r="AC231" s="342"/>
      <c r="AD231" s="342"/>
      <c r="AE231" s="342"/>
      <c r="AF231" s="342"/>
      <c r="AG231" s="342"/>
      <c r="AH231" s="342"/>
      <c r="AI231" s="342"/>
      <c r="AJ231" s="342"/>
      <c r="AK231" s="342"/>
      <c r="AL231" s="342"/>
      <c r="AM231" s="342"/>
      <c r="AN231" s="342"/>
      <c r="AO231" s="342"/>
      <c r="AP231" s="342"/>
      <c r="AQ231" s="342"/>
      <c r="AR231" s="342"/>
      <c r="AS231" s="342"/>
      <c r="AT231" s="342"/>
      <c r="AU231" s="342"/>
      <c r="AV231" s="342"/>
      <c r="AW231" s="342"/>
      <c r="AX231" s="342"/>
      <c r="AY231" s="342"/>
      <c r="AZ231" s="342"/>
      <c r="BA231" s="342"/>
      <c r="BB231" s="342"/>
      <c r="BC231" s="342"/>
      <c r="BD231" s="342"/>
      <c r="BE231" s="342"/>
      <c r="BF231" s="342"/>
      <c r="BG231" s="342"/>
      <c r="BH231" s="342"/>
    </row>
    <row r="232" spans="1:60" s="256" customFormat="1" ht="6" customHeight="1">
      <c r="A232" s="245"/>
      <c r="B232" s="282"/>
      <c r="C232" s="245"/>
      <c r="D232" s="245"/>
      <c r="E232" s="245"/>
      <c r="F232" s="245"/>
      <c r="G232" s="245"/>
      <c r="H232" s="245"/>
      <c r="AA232" s="397"/>
      <c r="AB232" s="342"/>
      <c r="AC232" s="342"/>
      <c r="AD232" s="342"/>
      <c r="AE232" s="342"/>
      <c r="AF232" s="342"/>
      <c r="AG232" s="342"/>
      <c r="AH232" s="342"/>
      <c r="AI232" s="342"/>
      <c r="AJ232" s="342"/>
      <c r="AK232" s="342"/>
      <c r="AL232" s="342"/>
      <c r="AM232" s="342"/>
      <c r="AN232" s="342"/>
      <c r="AO232" s="342"/>
      <c r="AP232" s="342"/>
      <c r="AQ232" s="342"/>
      <c r="AR232" s="342"/>
      <c r="AS232" s="342"/>
      <c r="AT232" s="342"/>
      <c r="AU232" s="342"/>
      <c r="AV232" s="342"/>
      <c r="AW232" s="342"/>
      <c r="AX232" s="342"/>
      <c r="AY232" s="342"/>
      <c r="AZ232" s="342"/>
      <c r="BA232" s="342"/>
      <c r="BB232" s="342"/>
      <c r="BC232" s="342"/>
      <c r="BD232" s="342"/>
      <c r="BE232" s="342"/>
      <c r="BF232" s="342"/>
      <c r="BG232" s="342"/>
      <c r="BH232" s="342"/>
    </row>
    <row r="233" spans="1:60" s="256" customFormat="1" ht="4.5" customHeight="1">
      <c r="A233" s="245"/>
      <c r="B233" s="282"/>
      <c r="C233" s="245"/>
      <c r="D233" s="245"/>
      <c r="E233" s="245"/>
      <c r="F233" s="245"/>
      <c r="G233" s="245"/>
      <c r="H233" s="245"/>
      <c r="AA233" s="397"/>
      <c r="AB233" s="342"/>
      <c r="AC233" s="342"/>
      <c r="AD233" s="342"/>
      <c r="AE233" s="342"/>
      <c r="AF233" s="342"/>
      <c r="AG233" s="342"/>
      <c r="AH233" s="342"/>
      <c r="AI233" s="342"/>
      <c r="AJ233" s="342"/>
      <c r="AK233" s="342"/>
      <c r="AL233" s="342"/>
      <c r="AM233" s="342"/>
      <c r="AN233" s="342"/>
      <c r="AO233" s="342"/>
      <c r="AP233" s="342"/>
      <c r="AQ233" s="342"/>
      <c r="AR233" s="342"/>
      <c r="AS233" s="342"/>
      <c r="AT233" s="342"/>
      <c r="AU233" s="342"/>
      <c r="AV233" s="342"/>
      <c r="AW233" s="342"/>
      <c r="AX233" s="342"/>
      <c r="AY233" s="342"/>
      <c r="AZ233" s="342"/>
      <c r="BA233" s="342"/>
      <c r="BB233" s="342"/>
      <c r="BC233" s="342"/>
      <c r="BD233" s="342"/>
      <c r="BE233" s="342"/>
      <c r="BF233" s="342"/>
      <c r="BG233" s="342"/>
      <c r="BH233" s="342"/>
    </row>
    <row r="234" spans="1:60" s="256" customFormat="1" ht="45.75" customHeight="1">
      <c r="A234" s="909" t="s">
        <v>534</v>
      </c>
      <c r="B234" s="910"/>
      <c r="C234" s="910"/>
      <c r="D234" s="910"/>
      <c r="E234" s="910"/>
      <c r="F234" s="910"/>
      <c r="G234" s="910"/>
      <c r="H234" s="910"/>
      <c r="I234" s="910"/>
      <c r="J234" s="910"/>
      <c r="K234" s="910"/>
      <c r="L234" s="910"/>
      <c r="M234" s="910"/>
      <c r="N234" s="910"/>
      <c r="O234" s="910"/>
      <c r="P234" s="910"/>
      <c r="Q234" s="910"/>
      <c r="R234" s="910"/>
      <c r="S234" s="910"/>
      <c r="T234" s="910"/>
      <c r="U234" s="910"/>
      <c r="V234" s="910"/>
      <c r="W234" s="910"/>
      <c r="X234" s="910"/>
      <c r="Y234" s="910"/>
      <c r="Z234" s="911"/>
      <c r="AA234" s="397"/>
      <c r="AB234" s="342"/>
      <c r="AC234" s="342"/>
      <c r="AD234" s="342"/>
      <c r="AE234" s="342"/>
      <c r="AF234" s="342"/>
      <c r="AG234" s="342"/>
      <c r="AH234" s="342"/>
      <c r="AI234" s="342"/>
      <c r="AJ234" s="342"/>
      <c r="AK234" s="342"/>
      <c r="AL234" s="342"/>
      <c r="AM234" s="342"/>
      <c r="AN234" s="342"/>
      <c r="AO234" s="342"/>
      <c r="AP234" s="342"/>
      <c r="AQ234" s="342"/>
      <c r="AR234" s="342"/>
      <c r="AS234" s="342"/>
      <c r="AT234" s="342"/>
      <c r="AU234" s="342"/>
      <c r="AV234" s="342"/>
      <c r="AW234" s="342"/>
      <c r="AX234" s="342"/>
      <c r="AY234" s="342"/>
      <c r="AZ234" s="342"/>
      <c r="BA234" s="342"/>
      <c r="BB234" s="342"/>
      <c r="BC234" s="342"/>
      <c r="BD234" s="342"/>
      <c r="BE234" s="342"/>
      <c r="BF234" s="342"/>
      <c r="BG234" s="342"/>
      <c r="BH234" s="342"/>
    </row>
    <row r="235" spans="1:60" s="256" customFormat="1" ht="6.75" customHeight="1">
      <c r="A235" s="305"/>
      <c r="B235" s="250"/>
      <c r="C235" s="532"/>
      <c r="D235" s="532"/>
      <c r="E235" s="302"/>
      <c r="F235" s="302"/>
      <c r="G235" s="302"/>
      <c r="H235" s="533"/>
      <c r="AA235" s="397"/>
      <c r="AB235" s="342"/>
      <c r="AC235" s="342"/>
      <c r="AD235" s="342"/>
      <c r="AE235" s="342"/>
      <c r="AF235" s="342"/>
      <c r="AG235" s="342"/>
      <c r="AH235" s="342"/>
      <c r="AI235" s="342"/>
      <c r="AJ235" s="342"/>
      <c r="AK235" s="342"/>
      <c r="AL235" s="342"/>
      <c r="AM235" s="342"/>
      <c r="AN235" s="342"/>
      <c r="AO235" s="342"/>
      <c r="AP235" s="342"/>
      <c r="AQ235" s="342"/>
      <c r="AR235" s="342"/>
      <c r="AS235" s="342"/>
      <c r="AT235" s="342"/>
      <c r="AU235" s="342"/>
      <c r="AV235" s="342"/>
      <c r="AW235" s="342"/>
      <c r="AX235" s="342"/>
      <c r="AY235" s="342"/>
      <c r="AZ235" s="342"/>
      <c r="BA235" s="342"/>
      <c r="BB235" s="342"/>
      <c r="BC235" s="342"/>
      <c r="BD235" s="342"/>
      <c r="BE235" s="342"/>
      <c r="BF235" s="342"/>
      <c r="BG235" s="342"/>
      <c r="BH235" s="342"/>
    </row>
    <row r="236" spans="1:60" s="256" customFormat="1" ht="12.75" customHeight="1">
      <c r="A236" s="912" t="s">
        <v>634</v>
      </c>
      <c r="B236" s="912"/>
      <c r="C236" s="912"/>
      <c r="D236" s="912"/>
      <c r="E236" s="912"/>
      <c r="F236" s="912"/>
      <c r="G236" s="912"/>
      <c r="H236" s="912"/>
      <c r="I236" s="912"/>
      <c r="J236" s="912"/>
      <c r="K236" s="912"/>
      <c r="L236" s="912"/>
      <c r="M236" s="912"/>
      <c r="N236" s="912"/>
      <c r="O236" s="912"/>
      <c r="P236" s="912"/>
      <c r="Q236" s="912"/>
      <c r="R236" s="912"/>
      <c r="S236" s="912"/>
      <c r="T236" s="912"/>
      <c r="U236" s="912"/>
      <c r="V236" s="912"/>
      <c r="W236" s="912"/>
      <c r="X236" s="912"/>
      <c r="Y236" s="912"/>
      <c r="Z236" s="912"/>
      <c r="AA236" s="397"/>
      <c r="AB236" s="342"/>
      <c r="AC236" s="342"/>
      <c r="AD236" s="342"/>
      <c r="AE236" s="342"/>
      <c r="AF236" s="342"/>
      <c r="AG236" s="342"/>
      <c r="AH236" s="342"/>
      <c r="AI236" s="342"/>
      <c r="AJ236" s="342"/>
      <c r="AK236" s="342"/>
      <c r="AL236" s="342"/>
      <c r="AM236" s="342"/>
      <c r="AN236" s="342"/>
      <c r="AO236" s="342"/>
      <c r="AP236" s="342"/>
      <c r="AQ236" s="342"/>
      <c r="AR236" s="342"/>
      <c r="AS236" s="342"/>
      <c r="AT236" s="342"/>
      <c r="AU236" s="342"/>
      <c r="AV236" s="342"/>
      <c r="AW236" s="342"/>
      <c r="AX236" s="342"/>
      <c r="AY236" s="342"/>
      <c r="AZ236" s="342"/>
      <c r="BA236" s="342"/>
      <c r="BB236" s="342"/>
      <c r="BC236" s="342"/>
      <c r="BD236" s="342"/>
      <c r="BE236" s="342"/>
      <c r="BF236" s="342"/>
      <c r="BG236" s="342"/>
      <c r="BH236" s="342"/>
    </row>
    <row r="237" spans="1:60" s="256" customFormat="1">
      <c r="A237" s="912"/>
      <c r="B237" s="912"/>
      <c r="C237" s="912"/>
      <c r="D237" s="912"/>
      <c r="E237" s="912"/>
      <c r="F237" s="912"/>
      <c r="G237" s="912"/>
      <c r="H237" s="912"/>
      <c r="I237" s="912"/>
      <c r="J237" s="912"/>
      <c r="K237" s="912"/>
      <c r="L237" s="912"/>
      <c r="M237" s="912"/>
      <c r="N237" s="912"/>
      <c r="O237" s="912"/>
      <c r="P237" s="912"/>
      <c r="Q237" s="912"/>
      <c r="R237" s="912"/>
      <c r="S237" s="912"/>
      <c r="T237" s="912"/>
      <c r="U237" s="912"/>
      <c r="V237" s="912"/>
      <c r="W237" s="912"/>
      <c r="X237" s="912"/>
      <c r="Y237" s="912"/>
      <c r="Z237" s="912"/>
      <c r="AA237" s="397"/>
      <c r="AB237" s="342"/>
      <c r="AC237" s="342"/>
      <c r="AD237" s="342"/>
      <c r="AE237" s="342"/>
      <c r="AF237" s="342"/>
      <c r="AG237" s="342"/>
      <c r="AH237" s="342"/>
      <c r="AI237" s="342"/>
      <c r="AJ237" s="342"/>
      <c r="AK237" s="342"/>
      <c r="AL237" s="342"/>
      <c r="AM237" s="342"/>
      <c r="AN237" s="342"/>
      <c r="AO237" s="342"/>
      <c r="AP237" s="342"/>
      <c r="AQ237" s="342"/>
      <c r="AR237" s="342"/>
      <c r="AS237" s="342"/>
      <c r="AT237" s="342"/>
      <c r="AU237" s="342"/>
      <c r="AV237" s="342"/>
      <c r="AW237" s="342"/>
      <c r="AX237" s="342"/>
      <c r="AY237" s="342"/>
      <c r="AZ237" s="342"/>
      <c r="BA237" s="342"/>
      <c r="BB237" s="342"/>
      <c r="BC237" s="342"/>
      <c r="BD237" s="342"/>
      <c r="BE237" s="342"/>
      <c r="BF237" s="342"/>
      <c r="BG237" s="342"/>
      <c r="BH237" s="342"/>
    </row>
    <row r="238" spans="1:60" s="256" customFormat="1" ht="10.5" customHeight="1">
      <c r="A238" s="912"/>
      <c r="B238" s="912"/>
      <c r="C238" s="912"/>
      <c r="D238" s="912"/>
      <c r="E238" s="912"/>
      <c r="F238" s="912"/>
      <c r="G238" s="912"/>
      <c r="H238" s="912"/>
      <c r="I238" s="912"/>
      <c r="J238" s="912"/>
      <c r="K238" s="912"/>
      <c r="L238" s="912"/>
      <c r="M238" s="912"/>
      <c r="N238" s="912"/>
      <c r="O238" s="912"/>
      <c r="P238" s="912"/>
      <c r="Q238" s="912"/>
      <c r="R238" s="912"/>
      <c r="S238" s="912"/>
      <c r="T238" s="912"/>
      <c r="U238" s="912"/>
      <c r="V238" s="912"/>
      <c r="W238" s="912"/>
      <c r="X238" s="912"/>
      <c r="Y238" s="912"/>
      <c r="Z238" s="912"/>
      <c r="AA238" s="397"/>
      <c r="AB238" s="342"/>
      <c r="AC238" s="342"/>
      <c r="AD238" s="342"/>
      <c r="AE238" s="342"/>
      <c r="AF238" s="342"/>
      <c r="AG238" s="342"/>
      <c r="AH238" s="342"/>
      <c r="AI238" s="342"/>
      <c r="AJ238" s="342"/>
      <c r="AK238" s="342"/>
      <c r="AL238" s="342"/>
      <c r="AM238" s="342"/>
      <c r="AN238" s="342"/>
      <c r="AO238" s="342"/>
      <c r="AP238" s="342"/>
      <c r="AQ238" s="342"/>
      <c r="AR238" s="342"/>
      <c r="AS238" s="342"/>
      <c r="AT238" s="342"/>
      <c r="AU238" s="342"/>
      <c r="AV238" s="342"/>
      <c r="AW238" s="342"/>
      <c r="AX238" s="342"/>
      <c r="AY238" s="342"/>
      <c r="AZ238" s="342"/>
      <c r="BA238" s="342"/>
      <c r="BB238" s="342"/>
      <c r="BC238" s="342"/>
      <c r="BD238" s="342"/>
      <c r="BE238" s="342"/>
      <c r="BF238" s="342"/>
      <c r="BG238" s="342"/>
      <c r="BH238" s="342"/>
    </row>
    <row r="239" spans="1:60" s="256" customFormat="1" ht="6.75" customHeight="1">
      <c r="A239" s="305"/>
      <c r="B239" s="250"/>
      <c r="C239" s="532"/>
      <c r="D239" s="532"/>
      <c r="E239" s="302"/>
      <c r="F239" s="302"/>
      <c r="G239" s="302"/>
      <c r="H239" s="533"/>
      <c r="AA239" s="397"/>
      <c r="AB239" s="342"/>
      <c r="AC239" s="342"/>
      <c r="AD239" s="342"/>
      <c r="AE239" s="342"/>
      <c r="AF239" s="342"/>
      <c r="AG239" s="342"/>
      <c r="AH239" s="342"/>
      <c r="AI239" s="342"/>
      <c r="AJ239" s="342"/>
      <c r="AK239" s="342"/>
      <c r="AL239" s="342"/>
      <c r="AM239" s="342"/>
      <c r="AN239" s="342"/>
      <c r="AO239" s="342"/>
      <c r="AP239" s="342"/>
      <c r="AQ239" s="342"/>
      <c r="AR239" s="342"/>
      <c r="AS239" s="342"/>
      <c r="AT239" s="342"/>
      <c r="AU239" s="342"/>
      <c r="AV239" s="342"/>
      <c r="AW239" s="342"/>
      <c r="AX239" s="342"/>
      <c r="AY239" s="342"/>
      <c r="AZ239" s="342"/>
      <c r="BA239" s="342"/>
      <c r="BB239" s="342"/>
      <c r="BC239" s="342"/>
      <c r="BD239" s="342"/>
      <c r="BE239" s="342"/>
      <c r="BF239" s="342"/>
      <c r="BG239" s="342"/>
      <c r="BH239" s="342"/>
    </row>
    <row r="240" spans="1:60" s="256" customFormat="1" ht="9" customHeight="1">
      <c r="A240" s="437"/>
      <c r="B240" s="437"/>
      <c r="C240" s="437"/>
      <c r="D240" s="437"/>
      <c r="E240" s="437"/>
      <c r="F240" s="437"/>
      <c r="G240" s="437"/>
      <c r="H240" s="437"/>
      <c r="AA240" s="397"/>
      <c r="AB240" s="342"/>
      <c r="AC240" s="342"/>
      <c r="AD240" s="342"/>
      <c r="AE240" s="342"/>
      <c r="AF240" s="342"/>
      <c r="AG240" s="342"/>
      <c r="AH240" s="342"/>
      <c r="AI240" s="342"/>
      <c r="AJ240" s="342"/>
      <c r="AK240" s="342"/>
      <c r="AL240" s="342"/>
      <c r="AM240" s="342"/>
      <c r="AN240" s="342"/>
      <c r="AO240" s="342"/>
      <c r="AP240" s="342"/>
      <c r="AQ240" s="342"/>
      <c r="AR240" s="342"/>
      <c r="AS240" s="342"/>
      <c r="AT240" s="342"/>
      <c r="AU240" s="342"/>
      <c r="AV240" s="342"/>
      <c r="AW240" s="342"/>
      <c r="AX240" s="342"/>
      <c r="AY240" s="342"/>
      <c r="AZ240" s="342"/>
      <c r="BA240" s="342"/>
      <c r="BB240" s="342"/>
      <c r="BC240" s="342"/>
      <c r="BD240" s="342"/>
      <c r="BE240" s="342"/>
      <c r="BF240" s="342"/>
      <c r="BG240" s="342"/>
      <c r="BH240" s="342"/>
    </row>
    <row r="241" spans="1:60" s="256" customFormat="1" ht="33.75" customHeight="1">
      <c r="A241" s="534" t="s">
        <v>153</v>
      </c>
      <c r="B241" s="534"/>
      <c r="C241" s="535"/>
      <c r="D241" s="535"/>
      <c r="E241" s="894" t="s">
        <v>2</v>
      </c>
      <c r="F241" s="894"/>
      <c r="G241" s="894"/>
      <c r="H241" s="894"/>
      <c r="I241" s="894"/>
      <c r="J241" s="894"/>
      <c r="K241" s="894"/>
      <c r="L241" s="894"/>
      <c r="M241" s="894"/>
      <c r="N241" s="894"/>
      <c r="O241" s="894"/>
      <c r="Q241" s="256" t="s">
        <v>154</v>
      </c>
      <c r="R241" s="914" t="s">
        <v>2</v>
      </c>
      <c r="S241" s="896"/>
      <c r="T241" s="896"/>
      <c r="U241" s="896"/>
      <c r="V241" s="896"/>
      <c r="W241" s="896"/>
      <c r="X241" s="896"/>
      <c r="Y241" s="896"/>
      <c r="AA241" s="397"/>
      <c r="AB241" s="342"/>
      <c r="AC241" s="342"/>
      <c r="AD241" s="342"/>
      <c r="AE241" s="342"/>
      <c r="AF241" s="342"/>
      <c r="AG241" s="342"/>
      <c r="AH241" s="342"/>
      <c r="AI241" s="342"/>
      <c r="AJ241" s="342"/>
      <c r="AK241" s="342"/>
      <c r="AL241" s="342"/>
      <c r="AM241" s="342"/>
      <c r="AN241" s="342"/>
      <c r="AO241" s="342"/>
      <c r="AP241" s="342"/>
      <c r="AQ241" s="342"/>
      <c r="AR241" s="342"/>
      <c r="AS241" s="342"/>
      <c r="AT241" s="342"/>
      <c r="AU241" s="342"/>
      <c r="AV241" s="342"/>
      <c r="AW241" s="342"/>
      <c r="AX241" s="342"/>
      <c r="AY241" s="342"/>
      <c r="AZ241" s="342"/>
      <c r="BA241" s="342"/>
      <c r="BB241" s="342"/>
      <c r="BC241" s="342"/>
      <c r="BD241" s="342"/>
      <c r="BE241" s="342"/>
      <c r="BF241" s="342"/>
      <c r="BG241" s="342"/>
      <c r="BH241" s="342"/>
    </row>
    <row r="242" spans="1:60" s="256" customFormat="1">
      <c r="A242" s="436"/>
      <c r="B242" s="436"/>
      <c r="C242" s="913"/>
      <c r="D242" s="913"/>
      <c r="E242" s="913"/>
      <c r="F242" s="913"/>
      <c r="G242" s="913"/>
      <c r="H242" s="913"/>
      <c r="AA242" s="397"/>
      <c r="AB242" s="342"/>
      <c r="AC242" s="342"/>
      <c r="AD242" s="342"/>
      <c r="AE242" s="342"/>
      <c r="AF242" s="342"/>
      <c r="AG242" s="342"/>
      <c r="AH242" s="342"/>
      <c r="AI242" s="342"/>
      <c r="AJ242" s="342"/>
      <c r="AK242" s="342"/>
      <c r="AL242" s="342"/>
      <c r="AM242" s="342"/>
      <c r="AN242" s="342"/>
      <c r="AO242" s="342"/>
      <c r="AP242" s="342"/>
      <c r="AQ242" s="342"/>
      <c r="AR242" s="342"/>
      <c r="AS242" s="342"/>
      <c r="AT242" s="342"/>
      <c r="AU242" s="342"/>
      <c r="AV242" s="342"/>
      <c r="AW242" s="342"/>
      <c r="AX242" s="342"/>
      <c r="AY242" s="342"/>
      <c r="AZ242" s="342"/>
      <c r="BA242" s="342"/>
      <c r="BB242" s="342"/>
      <c r="BC242" s="342"/>
      <c r="BD242" s="342"/>
      <c r="BE242" s="342"/>
      <c r="BF242" s="342"/>
      <c r="BG242" s="342"/>
      <c r="BH242" s="342"/>
    </row>
    <row r="243" spans="1:60" s="438" customFormat="1" ht="1.5" customHeight="1">
      <c r="A243" s="536"/>
      <c r="B243" s="536"/>
      <c r="C243" s="537"/>
      <c r="D243" s="537"/>
      <c r="E243" s="537"/>
      <c r="F243" s="537"/>
      <c r="G243" s="537"/>
      <c r="H243" s="537"/>
      <c r="AA243" s="538"/>
      <c r="AB243" s="539"/>
      <c r="AC243" s="539"/>
      <c r="AD243" s="539"/>
      <c r="AE243" s="539"/>
      <c r="AF243" s="539"/>
      <c r="AG243" s="539"/>
      <c r="AH243" s="539"/>
      <c r="AI243" s="539"/>
      <c r="AJ243" s="539"/>
      <c r="AK243" s="539"/>
      <c r="AL243" s="539"/>
      <c r="AM243" s="539"/>
      <c r="AN243" s="539"/>
      <c r="AO243" s="539"/>
      <c r="AP243" s="539"/>
      <c r="AQ243" s="539"/>
      <c r="AR243" s="539"/>
      <c r="AS243" s="539"/>
      <c r="AT243" s="539"/>
      <c r="AU243" s="539"/>
      <c r="AV243" s="539"/>
      <c r="AW243" s="539"/>
      <c r="AX243" s="539"/>
      <c r="AY243" s="539"/>
      <c r="AZ243" s="539"/>
      <c r="BA243" s="539"/>
      <c r="BB243" s="539"/>
      <c r="BC243" s="539"/>
      <c r="BD243" s="539"/>
      <c r="BE243" s="539"/>
      <c r="BF243" s="539"/>
      <c r="BG243" s="539"/>
      <c r="BH243" s="539"/>
    </row>
    <row r="244" spans="1:60" s="256" customFormat="1" ht="6" customHeight="1">
      <c r="A244" s="302"/>
      <c r="B244" s="302"/>
      <c r="C244" s="540"/>
      <c r="D244" s="540"/>
      <c r="E244" s="540"/>
      <c r="F244" s="540"/>
      <c r="G244" s="540"/>
      <c r="H244" s="540"/>
      <c r="AA244" s="397"/>
      <c r="AB244" s="342"/>
      <c r="AC244" s="342"/>
      <c r="AD244" s="342"/>
      <c r="AE244" s="342"/>
      <c r="AF244" s="342"/>
      <c r="AG244" s="342"/>
      <c r="AH244" s="342"/>
      <c r="AI244" s="342"/>
      <c r="AJ244" s="342"/>
      <c r="AK244" s="342"/>
      <c r="AL244" s="342"/>
      <c r="AM244" s="342"/>
      <c r="AN244" s="342"/>
      <c r="AO244" s="342"/>
      <c r="AP244" s="342"/>
      <c r="AQ244" s="342"/>
      <c r="AR244" s="342"/>
      <c r="AS244" s="342"/>
      <c r="AT244" s="342"/>
      <c r="AU244" s="342"/>
      <c r="AV244" s="342"/>
      <c r="AW244" s="342"/>
      <c r="AX244" s="342"/>
      <c r="AY244" s="342"/>
      <c r="AZ244" s="342"/>
      <c r="BA244" s="342"/>
      <c r="BB244" s="342"/>
      <c r="BC244" s="342"/>
      <c r="BD244" s="342"/>
      <c r="BE244" s="342"/>
      <c r="BF244" s="342"/>
      <c r="BG244" s="342"/>
      <c r="BH244" s="342"/>
    </row>
    <row r="245" spans="1:60" s="256" customFormat="1">
      <c r="A245" s="302"/>
      <c r="B245" s="521" t="s">
        <v>397</v>
      </c>
      <c r="C245" s="540"/>
      <c r="D245" s="540"/>
      <c r="E245" s="540"/>
      <c r="F245" s="540"/>
      <c r="G245" s="540"/>
      <c r="H245" s="540"/>
      <c r="Y245" s="256" t="s">
        <v>398</v>
      </c>
      <c r="Z245" s="256" t="s">
        <v>399</v>
      </c>
      <c r="AA245" s="397"/>
      <c r="AB245" s="342"/>
      <c r="AC245" s="342"/>
      <c r="AD245" s="342"/>
      <c r="AE245" s="342"/>
      <c r="AF245" s="342"/>
      <c r="AG245" s="342"/>
      <c r="AH245" s="342"/>
      <c r="AI245" s="342"/>
      <c r="AJ245" s="342"/>
      <c r="AK245" s="342"/>
      <c r="AL245" s="342"/>
      <c r="AM245" s="342"/>
      <c r="AN245" s="342"/>
      <c r="AO245" s="342"/>
      <c r="AP245" s="342"/>
      <c r="AQ245" s="342"/>
      <c r="AR245" s="342"/>
      <c r="AS245" s="342"/>
      <c r="AT245" s="342"/>
      <c r="AU245" s="342"/>
      <c r="AV245" s="342"/>
      <c r="AW245" s="342"/>
      <c r="AX245" s="342"/>
      <c r="AY245" s="342"/>
      <c r="AZ245" s="342"/>
      <c r="BA245" s="342"/>
      <c r="BB245" s="342"/>
      <c r="BC245" s="342"/>
      <c r="BD245" s="342"/>
      <c r="BE245" s="342"/>
      <c r="BF245" s="342"/>
      <c r="BG245" s="342"/>
      <c r="BH245" s="342"/>
    </row>
    <row r="246" spans="1:60" s="256" customFormat="1">
      <c r="A246" s="305"/>
      <c r="B246" s="250"/>
      <c r="C246" s="532"/>
      <c r="D246" s="532"/>
      <c r="E246" s="302"/>
      <c r="F246" s="302"/>
      <c r="G246" s="302"/>
      <c r="H246" s="533"/>
      <c r="AA246" s="397"/>
      <c r="AB246" s="342"/>
      <c r="AC246" s="342"/>
      <c r="AD246" s="342"/>
      <c r="AE246" s="342"/>
      <c r="AF246" s="342"/>
      <c r="AG246" s="342"/>
      <c r="AH246" s="342"/>
      <c r="AI246" s="342"/>
      <c r="AJ246" s="342"/>
      <c r="AK246" s="342"/>
      <c r="AL246" s="342"/>
      <c r="AM246" s="342"/>
      <c r="AN246" s="342"/>
      <c r="AO246" s="342"/>
      <c r="AP246" s="342"/>
      <c r="AQ246" s="342"/>
      <c r="AR246" s="342"/>
      <c r="AS246" s="342"/>
      <c r="AT246" s="342"/>
      <c r="AU246" s="342"/>
      <c r="AV246" s="342"/>
      <c r="AW246" s="342"/>
      <c r="AX246" s="342"/>
      <c r="AY246" s="342"/>
      <c r="AZ246" s="342"/>
      <c r="BA246" s="342"/>
      <c r="BB246" s="342"/>
      <c r="BC246" s="342"/>
      <c r="BD246" s="342"/>
      <c r="BE246" s="342"/>
      <c r="BF246" s="342"/>
      <c r="BG246" s="342"/>
      <c r="BH246" s="342"/>
    </row>
    <row r="247" spans="1:60" s="256" customFormat="1" ht="12.75" customHeight="1">
      <c r="A247" s="782" t="s">
        <v>535</v>
      </c>
      <c r="B247" s="782"/>
      <c r="C247" s="782"/>
      <c r="D247" s="782"/>
      <c r="E247" s="782"/>
      <c r="F247" s="782"/>
      <c r="G247" s="782"/>
      <c r="H247" s="782"/>
      <c r="I247" s="782"/>
      <c r="J247" s="782"/>
      <c r="K247" s="782"/>
      <c r="L247" s="782"/>
      <c r="M247" s="782"/>
      <c r="N247" s="782"/>
      <c r="O247" s="782"/>
      <c r="P247" s="782"/>
      <c r="Q247" s="782"/>
      <c r="R247" s="782"/>
      <c r="S247" s="782"/>
      <c r="Y247" s="442" t="s">
        <v>2</v>
      </c>
      <c r="Z247" s="442"/>
      <c r="AA247" s="397"/>
      <c r="AB247" s="342"/>
      <c r="AC247" s="342"/>
      <c r="AD247" s="342"/>
      <c r="AE247" s="342"/>
      <c r="AF247" s="342"/>
      <c r="AG247" s="342"/>
      <c r="AH247" s="342"/>
      <c r="AI247" s="342"/>
      <c r="AJ247" s="342"/>
      <c r="AK247" s="342"/>
      <c r="AL247" s="342"/>
      <c r="AM247" s="342"/>
      <c r="AN247" s="342"/>
      <c r="AO247" s="342"/>
      <c r="AP247" s="342"/>
      <c r="AQ247" s="342"/>
      <c r="AR247" s="342"/>
      <c r="AS247" s="342"/>
      <c r="AT247" s="342"/>
      <c r="AU247" s="342"/>
      <c r="AV247" s="342"/>
      <c r="AW247" s="342"/>
      <c r="AX247" s="342"/>
      <c r="AY247" s="342"/>
      <c r="AZ247" s="342"/>
      <c r="BA247" s="342"/>
      <c r="BB247" s="342"/>
      <c r="BC247" s="342"/>
      <c r="BD247" s="342"/>
      <c r="BE247" s="342"/>
      <c r="BF247" s="342"/>
      <c r="BG247" s="342"/>
      <c r="BH247" s="342"/>
    </row>
    <row r="248" spans="1:60" s="256" customFormat="1" ht="12.75" customHeight="1">
      <c r="A248" s="782" t="s">
        <v>400</v>
      </c>
      <c r="B248" s="782"/>
      <c r="C248" s="782"/>
      <c r="D248" s="782"/>
      <c r="E248" s="782"/>
      <c r="F248" s="782"/>
      <c r="G248" s="782"/>
      <c r="H248" s="782"/>
      <c r="I248" s="782"/>
      <c r="J248" s="782"/>
      <c r="K248" s="782"/>
      <c r="L248" s="782"/>
      <c r="M248" s="782"/>
      <c r="N248" s="782"/>
      <c r="O248" s="782"/>
      <c r="P248" s="782"/>
      <c r="Q248" s="782"/>
      <c r="R248" s="782"/>
      <c r="S248" s="782"/>
      <c r="Y248" s="442" t="s">
        <v>2</v>
      </c>
      <c r="Z248" s="442"/>
      <c r="AA248" s="397"/>
      <c r="AB248" s="342"/>
      <c r="AC248" s="342"/>
      <c r="AD248" s="342"/>
      <c r="AE248" s="342"/>
      <c r="AF248" s="342"/>
      <c r="AG248" s="342"/>
      <c r="AH248" s="342"/>
      <c r="AI248" s="342"/>
      <c r="AJ248" s="342"/>
      <c r="AK248" s="342"/>
      <c r="AL248" s="342"/>
      <c r="AM248" s="342"/>
      <c r="AN248" s="342"/>
      <c r="AO248" s="342"/>
      <c r="AP248" s="342"/>
      <c r="AQ248" s="342"/>
      <c r="AR248" s="342"/>
      <c r="AS248" s="342"/>
      <c r="AT248" s="342"/>
      <c r="AU248" s="342"/>
      <c r="AV248" s="342"/>
      <c r="AW248" s="342"/>
      <c r="AX248" s="342"/>
      <c r="AY248" s="342"/>
      <c r="AZ248" s="342"/>
      <c r="BA248" s="342"/>
      <c r="BB248" s="342"/>
      <c r="BC248" s="342"/>
      <c r="BD248" s="342"/>
      <c r="BE248" s="342"/>
      <c r="BF248" s="342"/>
      <c r="BG248" s="342"/>
      <c r="BH248" s="342"/>
    </row>
    <row r="249" spans="1:60" s="256" customFormat="1" ht="12.75" customHeight="1">
      <c r="A249" s="782" t="s">
        <v>401</v>
      </c>
      <c r="B249" s="782"/>
      <c r="C249" s="782"/>
      <c r="D249" s="782"/>
      <c r="E249" s="782"/>
      <c r="F249" s="782"/>
      <c r="G249" s="782"/>
      <c r="H249" s="782"/>
      <c r="I249" s="782"/>
      <c r="J249" s="782"/>
      <c r="K249" s="782"/>
      <c r="L249" s="782"/>
      <c r="M249" s="782"/>
      <c r="N249" s="782"/>
      <c r="O249" s="782"/>
      <c r="P249" s="782"/>
      <c r="Q249" s="782"/>
      <c r="R249" s="782"/>
      <c r="S249" s="782"/>
      <c r="Y249" s="442" t="s">
        <v>2</v>
      </c>
      <c r="Z249" s="442"/>
      <c r="AA249" s="397"/>
      <c r="AB249" s="342"/>
      <c r="AC249" s="342"/>
      <c r="AD249" s="342"/>
      <c r="AE249" s="342"/>
      <c r="AF249" s="342"/>
      <c r="AG249" s="342"/>
      <c r="AH249" s="342"/>
      <c r="AI249" s="342"/>
      <c r="AJ249" s="342"/>
      <c r="AK249" s="342"/>
      <c r="AL249" s="342"/>
      <c r="AM249" s="342"/>
      <c r="AN249" s="342"/>
      <c r="AO249" s="342"/>
      <c r="AP249" s="342"/>
      <c r="AQ249" s="342"/>
      <c r="AR249" s="342"/>
      <c r="AS249" s="342"/>
      <c r="AT249" s="342"/>
      <c r="AU249" s="342"/>
      <c r="AV249" s="342"/>
      <c r="AW249" s="342"/>
      <c r="AX249" s="342"/>
      <c r="AY249" s="342"/>
      <c r="AZ249" s="342"/>
      <c r="BA249" s="342"/>
      <c r="BB249" s="342"/>
      <c r="BC249" s="342"/>
      <c r="BD249" s="342"/>
      <c r="BE249" s="342"/>
      <c r="BF249" s="342"/>
      <c r="BG249" s="342"/>
      <c r="BH249" s="342"/>
    </row>
    <row r="250" spans="1:60" s="256" customFormat="1" ht="12.75" customHeight="1">
      <c r="A250" s="783" t="s">
        <v>536</v>
      </c>
      <c r="B250" s="784"/>
      <c r="C250" s="784"/>
      <c r="D250" s="784"/>
      <c r="E250" s="784"/>
      <c r="F250" s="784"/>
      <c r="G250" s="784"/>
      <c r="H250" s="784"/>
      <c r="I250" s="784"/>
      <c r="J250" s="784"/>
      <c r="K250" s="784"/>
      <c r="L250" s="784"/>
      <c r="M250" s="784"/>
      <c r="N250" s="784"/>
      <c r="O250" s="784"/>
      <c r="P250" s="784"/>
      <c r="Q250" s="784"/>
      <c r="R250" s="784"/>
      <c r="S250" s="785"/>
      <c r="Y250" s="442" t="s">
        <v>2</v>
      </c>
      <c r="Z250" s="442"/>
      <c r="AA250" s="397"/>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2"/>
      <c r="AY250" s="342"/>
      <c r="AZ250" s="342"/>
      <c r="BA250" s="342"/>
      <c r="BB250" s="342"/>
      <c r="BC250" s="342"/>
      <c r="BD250" s="342"/>
      <c r="BE250" s="342"/>
      <c r="BF250" s="342"/>
      <c r="BG250" s="342"/>
      <c r="BH250" s="342"/>
    </row>
    <row r="251" spans="1:60" s="256" customFormat="1" ht="12.75" customHeight="1">
      <c r="A251" s="782" t="s">
        <v>537</v>
      </c>
      <c r="B251" s="782"/>
      <c r="C251" s="782"/>
      <c r="D251" s="782"/>
      <c r="E251" s="782"/>
      <c r="F251" s="782"/>
      <c r="G251" s="782"/>
      <c r="H251" s="782"/>
      <c r="I251" s="782"/>
      <c r="J251" s="782"/>
      <c r="K251" s="782"/>
      <c r="L251" s="782"/>
      <c r="M251" s="782"/>
      <c r="N251" s="782"/>
      <c r="O251" s="782"/>
      <c r="P251" s="782"/>
      <c r="Q251" s="782"/>
      <c r="R251" s="782"/>
      <c r="S251" s="782"/>
      <c r="Y251" s="442" t="s">
        <v>2</v>
      </c>
      <c r="Z251" s="442"/>
      <c r="AA251" s="397"/>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c r="AW251" s="342"/>
      <c r="AX251" s="342"/>
      <c r="AY251" s="342"/>
      <c r="AZ251" s="342"/>
      <c r="BA251" s="342"/>
      <c r="BB251" s="342"/>
      <c r="BC251" s="342"/>
      <c r="BD251" s="342"/>
      <c r="BE251" s="342"/>
      <c r="BF251" s="342"/>
      <c r="BG251" s="342"/>
      <c r="BH251" s="342"/>
    </row>
    <row r="252" spans="1:60" s="256" customFormat="1" ht="12.75" customHeight="1">
      <c r="A252" s="782" t="s">
        <v>402</v>
      </c>
      <c r="B252" s="782"/>
      <c r="C252" s="782"/>
      <c r="D252" s="782"/>
      <c r="E252" s="782"/>
      <c r="F252" s="782"/>
      <c r="G252" s="782"/>
      <c r="H252" s="782"/>
      <c r="I252" s="782"/>
      <c r="J252" s="782"/>
      <c r="K252" s="782"/>
      <c r="L252" s="782"/>
      <c r="M252" s="782"/>
      <c r="N252" s="782"/>
      <c r="O252" s="782"/>
      <c r="P252" s="782"/>
      <c r="Q252" s="782"/>
      <c r="R252" s="782"/>
      <c r="S252" s="782"/>
      <c r="Y252" s="442" t="s">
        <v>2</v>
      </c>
      <c r="Z252" s="442"/>
      <c r="AA252" s="397"/>
      <c r="AB252" s="342"/>
      <c r="AC252" s="342"/>
      <c r="AD252" s="342"/>
      <c r="AE252" s="342"/>
      <c r="AF252" s="342"/>
      <c r="AG252" s="342"/>
      <c r="AH252" s="342"/>
      <c r="AI252" s="342"/>
      <c r="AJ252" s="342"/>
      <c r="AK252" s="342"/>
      <c r="AL252" s="342"/>
      <c r="AM252" s="342"/>
      <c r="AN252" s="342"/>
      <c r="AO252" s="342"/>
      <c r="AP252" s="342"/>
      <c r="AQ252" s="342"/>
      <c r="AR252" s="342"/>
      <c r="AS252" s="342"/>
      <c r="AT252" s="342"/>
      <c r="AU252" s="342"/>
      <c r="AV252" s="342"/>
      <c r="AW252" s="342"/>
      <c r="AX252" s="342"/>
      <c r="AY252" s="342"/>
      <c r="AZ252" s="342"/>
      <c r="BA252" s="342"/>
      <c r="BB252" s="342"/>
      <c r="BC252" s="342"/>
      <c r="BD252" s="342"/>
      <c r="BE252" s="342"/>
      <c r="BF252" s="342"/>
      <c r="BG252" s="342"/>
      <c r="BH252" s="342"/>
    </row>
    <row r="253" spans="1:60" s="256" customFormat="1" ht="12.75" customHeight="1">
      <c r="A253" s="782" t="s">
        <v>538</v>
      </c>
      <c r="B253" s="782"/>
      <c r="C253" s="782"/>
      <c r="D253" s="782"/>
      <c r="E253" s="782"/>
      <c r="F253" s="782"/>
      <c r="G253" s="782"/>
      <c r="H253" s="782"/>
      <c r="I253" s="782"/>
      <c r="J253" s="782"/>
      <c r="K253" s="782"/>
      <c r="L253" s="782"/>
      <c r="M253" s="782"/>
      <c r="N253" s="782"/>
      <c r="O253" s="782"/>
      <c r="P253" s="782"/>
      <c r="Q253" s="782"/>
      <c r="R253" s="782"/>
      <c r="S253" s="782"/>
      <c r="Y253" s="442"/>
      <c r="Z253" s="442"/>
      <c r="AA253" s="397"/>
      <c r="AB253" s="342"/>
      <c r="AC253" s="342"/>
      <c r="AD253" s="342"/>
      <c r="AE253" s="342"/>
      <c r="AF253" s="342"/>
      <c r="AG253" s="342"/>
      <c r="AH253" s="342"/>
      <c r="AI253" s="342"/>
      <c r="AJ253" s="342"/>
      <c r="AK253" s="342"/>
      <c r="AL253" s="342"/>
      <c r="AM253" s="342"/>
      <c r="AN253" s="342"/>
      <c r="AO253" s="342"/>
      <c r="AP253" s="342"/>
      <c r="AQ253" s="342"/>
      <c r="AR253" s="342"/>
      <c r="AS253" s="342"/>
      <c r="AT253" s="342"/>
      <c r="AU253" s="342"/>
      <c r="AV253" s="342"/>
      <c r="AW253" s="342"/>
      <c r="AX253" s="342"/>
      <c r="AY253" s="342"/>
      <c r="AZ253" s="342"/>
      <c r="BA253" s="342"/>
      <c r="BB253" s="342"/>
      <c r="BC253" s="342"/>
      <c r="BD253" s="342"/>
      <c r="BE253" s="342"/>
      <c r="BF253" s="342"/>
      <c r="BG253" s="342"/>
      <c r="BH253" s="342"/>
    </row>
    <row r="254" spans="1:60" s="256" customFormat="1" ht="8.25" customHeight="1">
      <c r="A254" s="305"/>
      <c r="B254" s="250"/>
      <c r="C254" s="532"/>
      <c r="D254" s="532"/>
      <c r="E254" s="302"/>
      <c r="F254" s="302"/>
      <c r="G254" s="302"/>
      <c r="H254" s="533"/>
      <c r="AA254" s="397"/>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2"/>
      <c r="AY254" s="342"/>
      <c r="AZ254" s="342"/>
      <c r="BA254" s="342"/>
      <c r="BB254" s="342"/>
      <c r="BC254" s="342"/>
      <c r="BD254" s="342"/>
      <c r="BE254" s="342"/>
      <c r="BF254" s="342"/>
      <c r="BG254" s="342"/>
      <c r="BH254" s="342"/>
    </row>
    <row r="255" spans="1:60" s="256" customFormat="1" ht="1.5" customHeight="1">
      <c r="A255" s="245"/>
      <c r="B255" s="245"/>
      <c r="C255" s="245"/>
      <c r="D255" s="245"/>
      <c r="E255" s="245"/>
      <c r="F255" s="245"/>
      <c r="G255" s="245"/>
      <c r="H255" s="245"/>
      <c r="AA255" s="397"/>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2"/>
      <c r="AY255" s="342"/>
      <c r="AZ255" s="342"/>
      <c r="BA255" s="342"/>
      <c r="BB255" s="342"/>
      <c r="BC255" s="342"/>
      <c r="BD255" s="342"/>
      <c r="BE255" s="342"/>
      <c r="BF255" s="342"/>
      <c r="BG255" s="342"/>
      <c r="BH255" s="342"/>
    </row>
    <row r="256" spans="1:60" s="256" customFormat="1" ht="33" customHeight="1">
      <c r="A256" s="534" t="s">
        <v>153</v>
      </c>
      <c r="B256" s="534"/>
      <c r="C256" s="535"/>
      <c r="D256" s="535"/>
      <c r="E256" s="894" t="s">
        <v>2</v>
      </c>
      <c r="F256" s="894"/>
      <c r="G256" s="894"/>
      <c r="H256" s="894"/>
      <c r="I256" s="894"/>
      <c r="J256" s="894"/>
      <c r="K256" s="894"/>
      <c r="L256" s="894"/>
      <c r="M256" s="894"/>
      <c r="N256" s="894"/>
      <c r="O256" s="894"/>
      <c r="Q256" s="256" t="s">
        <v>154</v>
      </c>
      <c r="R256" s="895" t="s">
        <v>2</v>
      </c>
      <c r="S256" s="896"/>
      <c r="T256" s="896"/>
      <c r="U256" s="896"/>
      <c r="V256" s="896"/>
      <c r="W256" s="896"/>
      <c r="X256" s="896"/>
      <c r="Y256" s="896"/>
      <c r="AA256" s="397"/>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2"/>
      <c r="AY256" s="342"/>
      <c r="AZ256" s="342"/>
      <c r="BA256" s="342"/>
      <c r="BB256" s="342"/>
      <c r="BC256" s="342"/>
      <c r="BD256" s="342"/>
      <c r="BE256" s="342"/>
      <c r="BF256" s="342"/>
      <c r="BG256" s="342"/>
      <c r="BH256" s="342"/>
    </row>
    <row r="257" spans="2:60" s="256" customFormat="1" ht="13.5" thickBot="1">
      <c r="AA257" s="397"/>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2"/>
      <c r="AY257" s="342"/>
      <c r="AZ257" s="342"/>
      <c r="BA257" s="342"/>
      <c r="BB257" s="342"/>
      <c r="BC257" s="342"/>
      <c r="BD257" s="342"/>
      <c r="BE257" s="342"/>
      <c r="BF257" s="342"/>
      <c r="BG257" s="342"/>
      <c r="BH257" s="342"/>
    </row>
    <row r="258" spans="2:60" s="256" customFormat="1">
      <c r="B258" s="897" t="s">
        <v>539</v>
      </c>
      <c r="C258" s="898"/>
      <c r="D258" s="898"/>
      <c r="E258" s="898"/>
      <c r="F258" s="898"/>
      <c r="G258" s="898"/>
      <c r="H258" s="898"/>
      <c r="I258" s="898"/>
      <c r="J258" s="898"/>
      <c r="K258" s="898"/>
      <c r="L258" s="898"/>
      <c r="M258" s="898"/>
      <c r="N258" s="898"/>
      <c r="O258" s="898"/>
      <c r="P258" s="898"/>
      <c r="Q258" s="898"/>
      <c r="R258" s="898"/>
      <c r="S258" s="898"/>
      <c r="T258" s="898"/>
      <c r="U258" s="898"/>
      <c r="V258" s="898"/>
      <c r="W258" s="898"/>
      <c r="X258" s="898"/>
      <c r="Y258" s="898"/>
      <c r="Z258" s="899"/>
      <c r="AA258" s="397"/>
      <c r="AB258" s="342"/>
      <c r="AC258" s="342"/>
      <c r="AD258" s="342"/>
      <c r="AE258" s="342"/>
      <c r="AF258" s="342"/>
      <c r="AG258" s="342"/>
      <c r="AH258" s="342"/>
      <c r="AI258" s="342"/>
      <c r="AJ258" s="342"/>
      <c r="AK258" s="342"/>
      <c r="AL258" s="342"/>
      <c r="AM258" s="342"/>
      <c r="AN258" s="342"/>
      <c r="AO258" s="342"/>
      <c r="AP258" s="342"/>
      <c r="AQ258" s="342"/>
      <c r="AR258" s="342"/>
      <c r="AS258" s="342"/>
      <c r="AT258" s="342"/>
      <c r="AU258" s="342"/>
      <c r="AV258" s="342"/>
      <c r="AW258" s="342"/>
      <c r="AX258" s="342"/>
      <c r="AY258" s="342"/>
      <c r="AZ258" s="342"/>
      <c r="BA258" s="342"/>
      <c r="BB258" s="342"/>
      <c r="BC258" s="342"/>
      <c r="BD258" s="342"/>
      <c r="BE258" s="342"/>
      <c r="BF258" s="342"/>
      <c r="BG258" s="342"/>
      <c r="BH258" s="342"/>
    </row>
    <row r="259" spans="2:60" s="256" customFormat="1">
      <c r="B259" s="900"/>
      <c r="C259" s="901"/>
      <c r="D259" s="901"/>
      <c r="E259" s="901"/>
      <c r="F259" s="901"/>
      <c r="G259" s="901"/>
      <c r="H259" s="901"/>
      <c r="I259" s="901"/>
      <c r="J259" s="901"/>
      <c r="K259" s="901"/>
      <c r="L259" s="901"/>
      <c r="M259" s="901"/>
      <c r="N259" s="901"/>
      <c r="O259" s="901"/>
      <c r="P259" s="901"/>
      <c r="Q259" s="901"/>
      <c r="R259" s="901"/>
      <c r="S259" s="901"/>
      <c r="T259" s="901"/>
      <c r="U259" s="901"/>
      <c r="V259" s="901"/>
      <c r="W259" s="901"/>
      <c r="X259" s="901"/>
      <c r="Y259" s="901"/>
      <c r="Z259" s="902"/>
      <c r="AA259" s="397"/>
      <c r="AB259" s="342"/>
      <c r="AC259" s="342"/>
      <c r="AD259" s="342"/>
      <c r="AE259" s="342"/>
      <c r="AF259" s="342"/>
      <c r="AG259" s="342"/>
      <c r="AH259" s="342"/>
      <c r="AI259" s="342"/>
      <c r="AJ259" s="342"/>
      <c r="AK259" s="342"/>
      <c r="AL259" s="342"/>
      <c r="AM259" s="342"/>
      <c r="AN259" s="342"/>
      <c r="AO259" s="342"/>
      <c r="AP259" s="342"/>
      <c r="AQ259" s="342"/>
      <c r="AR259" s="342"/>
      <c r="AS259" s="342"/>
      <c r="AT259" s="342"/>
      <c r="AU259" s="342"/>
      <c r="AV259" s="342"/>
      <c r="AW259" s="342"/>
      <c r="AX259" s="342"/>
      <c r="AY259" s="342"/>
      <c r="AZ259" s="342"/>
      <c r="BA259" s="342"/>
      <c r="BB259" s="342"/>
      <c r="BC259" s="342"/>
      <c r="BD259" s="342"/>
      <c r="BE259" s="342"/>
      <c r="BF259" s="342"/>
      <c r="BG259" s="342"/>
      <c r="BH259" s="342"/>
    </row>
    <row r="260" spans="2:60" s="256" customFormat="1" ht="13.5" thickBot="1">
      <c r="B260" s="903"/>
      <c r="C260" s="904"/>
      <c r="D260" s="904"/>
      <c r="E260" s="904"/>
      <c r="F260" s="904"/>
      <c r="G260" s="904"/>
      <c r="H260" s="904"/>
      <c r="I260" s="904"/>
      <c r="J260" s="904"/>
      <c r="K260" s="904"/>
      <c r="L260" s="904"/>
      <c r="M260" s="904"/>
      <c r="N260" s="904"/>
      <c r="O260" s="904"/>
      <c r="P260" s="904"/>
      <c r="Q260" s="904"/>
      <c r="R260" s="904"/>
      <c r="S260" s="904"/>
      <c r="T260" s="904"/>
      <c r="U260" s="904"/>
      <c r="V260" s="904"/>
      <c r="W260" s="904"/>
      <c r="X260" s="904"/>
      <c r="Y260" s="904"/>
      <c r="Z260" s="905"/>
      <c r="AA260" s="397"/>
      <c r="AB260" s="342"/>
      <c r="AC260" s="342"/>
      <c r="AD260" s="342"/>
      <c r="AE260" s="342"/>
      <c r="AF260" s="342"/>
      <c r="AG260" s="342"/>
      <c r="AH260" s="342"/>
      <c r="AI260" s="342"/>
      <c r="AJ260" s="342"/>
      <c r="AK260" s="342"/>
      <c r="AL260" s="342"/>
      <c r="AM260" s="342"/>
      <c r="AN260" s="342"/>
      <c r="AO260" s="342"/>
      <c r="AP260" s="342"/>
      <c r="AQ260" s="342"/>
      <c r="AR260" s="342"/>
      <c r="AS260" s="342"/>
      <c r="AT260" s="342"/>
      <c r="AU260" s="342"/>
      <c r="AV260" s="342"/>
      <c r="AW260" s="342"/>
      <c r="AX260" s="342"/>
      <c r="AY260" s="342"/>
      <c r="AZ260" s="342"/>
      <c r="BA260" s="342"/>
      <c r="BB260" s="342"/>
      <c r="BC260" s="342"/>
      <c r="BD260" s="342"/>
      <c r="BE260" s="342"/>
      <c r="BF260" s="342"/>
      <c r="BG260" s="342"/>
      <c r="BH260" s="342"/>
    </row>
    <row r="261" spans="2:60" s="256" customFormat="1">
      <c r="AA261" s="397"/>
      <c r="AB261" s="342"/>
      <c r="AC261" s="342"/>
      <c r="AD261" s="342"/>
      <c r="AE261" s="342"/>
      <c r="AF261" s="342"/>
      <c r="AG261" s="342"/>
      <c r="AH261" s="342"/>
      <c r="AI261" s="342"/>
      <c r="AJ261" s="342"/>
      <c r="AK261" s="342"/>
      <c r="AL261" s="342"/>
      <c r="AM261" s="342"/>
      <c r="AN261" s="342"/>
      <c r="AO261" s="342"/>
      <c r="AP261" s="342"/>
      <c r="AQ261" s="342"/>
      <c r="AR261" s="342"/>
      <c r="AS261" s="342"/>
      <c r="AT261" s="342"/>
      <c r="AU261" s="342"/>
      <c r="AV261" s="342"/>
      <c r="AW261" s="342"/>
      <c r="AX261" s="342"/>
      <c r="AY261" s="342"/>
      <c r="AZ261" s="342"/>
      <c r="BA261" s="342"/>
      <c r="BB261" s="342"/>
      <c r="BC261" s="342"/>
      <c r="BD261" s="342"/>
      <c r="BE261" s="342"/>
      <c r="BF261" s="342"/>
      <c r="BG261" s="342"/>
      <c r="BH261" s="342"/>
    </row>
    <row r="262" spans="2:60" s="256" customFormat="1" ht="1.5" customHeight="1">
      <c r="AA262" s="397"/>
      <c r="AB262" s="342"/>
      <c r="AC262" s="342"/>
      <c r="AD262" s="342"/>
      <c r="AE262" s="342"/>
      <c r="AF262" s="342"/>
      <c r="AG262" s="342"/>
      <c r="AH262" s="342"/>
      <c r="AI262" s="342"/>
      <c r="AJ262" s="342"/>
      <c r="AK262" s="342"/>
      <c r="AL262" s="342"/>
      <c r="AM262" s="342"/>
      <c r="AN262" s="342"/>
      <c r="AO262" s="342"/>
      <c r="AP262" s="342"/>
      <c r="AQ262" s="342"/>
      <c r="AR262" s="342"/>
      <c r="AS262" s="342"/>
      <c r="AT262" s="342"/>
      <c r="AU262" s="342"/>
      <c r="AV262" s="342"/>
      <c r="AW262" s="342"/>
      <c r="AX262" s="342"/>
      <c r="AY262" s="342"/>
      <c r="AZ262" s="342"/>
      <c r="BA262" s="342"/>
      <c r="BB262" s="342"/>
      <c r="BC262" s="342"/>
      <c r="BD262" s="342"/>
      <c r="BE262" s="342"/>
      <c r="BF262" s="342"/>
      <c r="BG262" s="342"/>
      <c r="BH262" s="342"/>
    </row>
    <row r="263" spans="2:60" s="256" customFormat="1" hidden="1">
      <c r="AA263" s="397"/>
      <c r="AB263" s="342"/>
      <c r="AC263" s="342"/>
      <c r="AD263" s="342"/>
      <c r="AE263" s="342"/>
      <c r="AF263" s="342"/>
      <c r="AG263" s="342"/>
      <c r="AH263" s="342"/>
      <c r="AI263" s="342"/>
      <c r="AJ263" s="342"/>
      <c r="AK263" s="342"/>
      <c r="AL263" s="342"/>
      <c r="AM263" s="342"/>
      <c r="AN263" s="342"/>
      <c r="AO263" s="342"/>
      <c r="AP263" s="342"/>
      <c r="AQ263" s="342"/>
      <c r="AR263" s="342"/>
      <c r="AS263" s="342"/>
      <c r="AT263" s="342"/>
      <c r="AU263" s="342"/>
      <c r="AV263" s="342"/>
      <c r="AW263" s="342"/>
      <c r="AX263" s="342"/>
      <c r="AY263" s="342"/>
      <c r="AZ263" s="342"/>
      <c r="BA263" s="342"/>
      <c r="BB263" s="342"/>
      <c r="BC263" s="342"/>
      <c r="BD263" s="342"/>
      <c r="BE263" s="342"/>
      <c r="BF263" s="342"/>
      <c r="BG263" s="342"/>
      <c r="BH263" s="342"/>
    </row>
    <row r="264" spans="2:60" s="256" customFormat="1">
      <c r="AA264" s="397"/>
      <c r="AB264" s="342"/>
      <c r="AC264" s="342"/>
      <c r="AD264" s="342"/>
      <c r="AE264" s="342"/>
      <c r="AF264" s="342"/>
      <c r="AG264" s="342"/>
      <c r="AH264" s="342"/>
      <c r="AI264" s="342"/>
      <c r="AJ264" s="342"/>
      <c r="AK264" s="342"/>
      <c r="AL264" s="342"/>
      <c r="AM264" s="342"/>
      <c r="AN264" s="342"/>
      <c r="AO264" s="342"/>
      <c r="AP264" s="342"/>
      <c r="AQ264" s="342"/>
      <c r="AR264" s="342"/>
      <c r="AS264" s="342"/>
      <c r="AT264" s="342"/>
      <c r="AU264" s="342"/>
      <c r="AV264" s="342"/>
      <c r="AW264" s="342"/>
      <c r="AX264" s="342"/>
      <c r="AY264" s="342"/>
      <c r="AZ264" s="342"/>
      <c r="BA264" s="342"/>
      <c r="BB264" s="342"/>
      <c r="BC264" s="342"/>
      <c r="BD264" s="342"/>
      <c r="BE264" s="342"/>
      <c r="BF264" s="342"/>
      <c r="BG264" s="342"/>
      <c r="BH264" s="342"/>
    </row>
    <row r="265" spans="2:60" s="256" customFormat="1">
      <c r="AA265" s="397"/>
      <c r="AB265" s="342"/>
      <c r="AC265" s="342"/>
      <c r="AD265" s="342"/>
      <c r="AE265" s="342"/>
      <c r="AF265" s="342"/>
      <c r="AG265" s="342"/>
      <c r="AH265" s="342"/>
      <c r="AI265" s="342"/>
      <c r="AJ265" s="342"/>
      <c r="AK265" s="342"/>
      <c r="AL265" s="342"/>
      <c r="AM265" s="342"/>
      <c r="AN265" s="342"/>
      <c r="AO265" s="342"/>
      <c r="AP265" s="342"/>
      <c r="AQ265" s="342"/>
      <c r="AR265" s="342"/>
      <c r="AS265" s="342"/>
      <c r="AT265" s="342"/>
      <c r="AU265" s="342"/>
      <c r="AV265" s="342"/>
      <c r="AW265" s="342"/>
      <c r="AX265" s="342"/>
      <c r="AY265" s="342"/>
      <c r="AZ265" s="342"/>
      <c r="BA265" s="342"/>
      <c r="BB265" s="342"/>
      <c r="BC265" s="342"/>
      <c r="BD265" s="342"/>
      <c r="BE265" s="342"/>
      <c r="BF265" s="342"/>
      <c r="BG265" s="342"/>
      <c r="BH265" s="342"/>
    </row>
    <row r="266" spans="2:60" s="256" customFormat="1">
      <c r="AA266" s="397"/>
      <c r="AB266" s="342"/>
      <c r="AC266" s="342"/>
      <c r="AD266" s="342"/>
      <c r="AE266" s="342"/>
      <c r="AF266" s="342"/>
      <c r="AG266" s="342"/>
      <c r="AH266" s="342"/>
      <c r="AI266" s="342"/>
      <c r="AJ266" s="342"/>
      <c r="AK266" s="342"/>
      <c r="AL266" s="342"/>
      <c r="AM266" s="342"/>
      <c r="AN266" s="342"/>
      <c r="AO266" s="342"/>
      <c r="AP266" s="342"/>
      <c r="AQ266" s="342"/>
      <c r="AR266" s="342"/>
      <c r="AS266" s="342"/>
      <c r="AT266" s="342"/>
      <c r="AU266" s="342"/>
      <c r="AV266" s="342"/>
      <c r="AW266" s="342"/>
      <c r="AX266" s="342"/>
      <c r="AY266" s="342"/>
      <c r="AZ266" s="342"/>
      <c r="BA266" s="342"/>
      <c r="BB266" s="342"/>
      <c r="BC266" s="342"/>
      <c r="BD266" s="342"/>
      <c r="BE266" s="342"/>
      <c r="BF266" s="342"/>
      <c r="BG266" s="342"/>
      <c r="BH266" s="342"/>
    </row>
    <row r="267" spans="2:60" s="256" customFormat="1">
      <c r="AA267" s="397"/>
      <c r="AB267" s="342"/>
      <c r="AC267" s="342"/>
      <c r="AD267" s="342"/>
      <c r="AE267" s="342"/>
      <c r="AF267" s="342"/>
      <c r="AG267" s="342"/>
      <c r="AH267" s="342"/>
      <c r="AI267" s="342"/>
      <c r="AJ267" s="342"/>
      <c r="AK267" s="342"/>
      <c r="AL267" s="342"/>
      <c r="AM267" s="342"/>
      <c r="AN267" s="342"/>
      <c r="AO267" s="342"/>
      <c r="AP267" s="342"/>
      <c r="AQ267" s="342"/>
      <c r="AR267" s="342"/>
      <c r="AS267" s="342"/>
      <c r="AT267" s="342"/>
      <c r="AU267" s="342"/>
      <c r="AV267" s="342"/>
      <c r="AW267" s="342"/>
      <c r="AX267" s="342"/>
      <c r="AY267" s="342"/>
      <c r="AZ267" s="342"/>
      <c r="BA267" s="342"/>
      <c r="BB267" s="342"/>
      <c r="BC267" s="342"/>
      <c r="BD267" s="342"/>
      <c r="BE267" s="342"/>
      <c r="BF267" s="342"/>
      <c r="BG267" s="342"/>
      <c r="BH267" s="342"/>
    </row>
    <row r="268" spans="2:60" s="256" customFormat="1">
      <c r="AA268" s="397"/>
      <c r="AB268" s="342"/>
      <c r="AC268" s="342"/>
      <c r="AD268" s="342"/>
      <c r="AE268" s="342"/>
      <c r="AF268" s="342"/>
      <c r="AG268" s="342"/>
      <c r="AH268" s="342"/>
      <c r="AI268" s="342"/>
      <c r="AJ268" s="342"/>
      <c r="AK268" s="342"/>
      <c r="AL268" s="342"/>
      <c r="AM268" s="342"/>
      <c r="AN268" s="342"/>
      <c r="AO268" s="342"/>
      <c r="AP268" s="342"/>
      <c r="AQ268" s="342"/>
      <c r="AR268" s="342"/>
      <c r="AS268" s="342"/>
      <c r="AT268" s="342"/>
      <c r="AU268" s="342"/>
      <c r="AV268" s="342"/>
      <c r="AW268" s="342"/>
      <c r="AX268" s="342"/>
      <c r="AY268" s="342"/>
      <c r="AZ268" s="342"/>
      <c r="BA268" s="342"/>
      <c r="BB268" s="342"/>
      <c r="BC268" s="342"/>
      <c r="BD268" s="342"/>
      <c r="BE268" s="342"/>
      <c r="BF268" s="342"/>
      <c r="BG268" s="342"/>
      <c r="BH268" s="342"/>
    </row>
    <row r="269" spans="2:60" s="256" customFormat="1">
      <c r="AA269" s="397"/>
      <c r="AB269" s="342"/>
      <c r="AC269" s="342"/>
      <c r="AD269" s="342"/>
      <c r="AE269" s="342"/>
      <c r="AF269" s="342"/>
      <c r="AG269" s="342"/>
      <c r="AH269" s="342"/>
      <c r="AI269" s="342"/>
      <c r="AJ269" s="342"/>
      <c r="AK269" s="342"/>
      <c r="AL269" s="342"/>
      <c r="AM269" s="342"/>
      <c r="AN269" s="342"/>
      <c r="AO269" s="342"/>
      <c r="AP269" s="342"/>
      <c r="AQ269" s="342"/>
      <c r="AR269" s="342"/>
      <c r="AS269" s="342"/>
      <c r="AT269" s="342"/>
      <c r="AU269" s="342"/>
      <c r="AV269" s="342"/>
      <c r="AW269" s="342"/>
      <c r="AX269" s="342"/>
      <c r="AY269" s="342"/>
      <c r="AZ269" s="342"/>
      <c r="BA269" s="342"/>
      <c r="BB269" s="342"/>
      <c r="BC269" s="342"/>
      <c r="BD269" s="342"/>
      <c r="BE269" s="342"/>
      <c r="BF269" s="342"/>
      <c r="BG269" s="342"/>
      <c r="BH269" s="342"/>
    </row>
    <row r="270" spans="2:60" s="256" customFormat="1">
      <c r="AA270" s="397"/>
      <c r="AB270" s="342"/>
      <c r="AC270" s="342"/>
      <c r="AD270" s="342"/>
      <c r="AE270" s="342"/>
      <c r="AF270" s="342"/>
      <c r="AG270" s="342"/>
      <c r="AH270" s="342"/>
      <c r="AI270" s="342"/>
      <c r="AJ270" s="342"/>
      <c r="AK270" s="342"/>
      <c r="AL270" s="342"/>
      <c r="AM270" s="342"/>
      <c r="AN270" s="342"/>
      <c r="AO270" s="342"/>
      <c r="AP270" s="342"/>
      <c r="AQ270" s="342"/>
      <c r="AR270" s="342"/>
      <c r="AS270" s="342"/>
      <c r="AT270" s="342"/>
      <c r="AU270" s="342"/>
      <c r="AV270" s="342"/>
      <c r="AW270" s="342"/>
      <c r="AX270" s="342"/>
      <c r="AY270" s="342"/>
      <c r="AZ270" s="342"/>
      <c r="BA270" s="342"/>
      <c r="BB270" s="342"/>
      <c r="BC270" s="342"/>
      <c r="BD270" s="342"/>
      <c r="BE270" s="342"/>
      <c r="BF270" s="342"/>
      <c r="BG270" s="342"/>
      <c r="BH270" s="342"/>
    </row>
    <row r="271" spans="2:60" s="256" customFormat="1">
      <c r="AA271" s="397"/>
      <c r="AB271" s="342"/>
      <c r="AC271" s="342"/>
      <c r="AD271" s="342"/>
      <c r="AE271" s="342"/>
      <c r="AF271" s="342"/>
      <c r="AG271" s="342"/>
      <c r="AH271" s="342"/>
      <c r="AI271" s="342"/>
      <c r="AJ271" s="342"/>
      <c r="AK271" s="342"/>
      <c r="AL271" s="342"/>
      <c r="AM271" s="342"/>
      <c r="AN271" s="342"/>
      <c r="AO271" s="342"/>
      <c r="AP271" s="342"/>
      <c r="AQ271" s="342"/>
      <c r="AR271" s="342"/>
      <c r="AS271" s="342"/>
      <c r="AT271" s="342"/>
      <c r="AU271" s="342"/>
      <c r="AV271" s="342"/>
      <c r="AW271" s="342"/>
      <c r="AX271" s="342"/>
      <c r="AY271" s="342"/>
      <c r="AZ271" s="342"/>
      <c r="BA271" s="342"/>
      <c r="BB271" s="342"/>
      <c r="BC271" s="342"/>
      <c r="BD271" s="342"/>
      <c r="BE271" s="342"/>
      <c r="BF271" s="342"/>
      <c r="BG271" s="342"/>
      <c r="BH271" s="342"/>
    </row>
    <row r="272" spans="2:60" s="256" customFormat="1">
      <c r="AA272" s="397"/>
      <c r="AB272" s="342"/>
      <c r="AC272" s="342"/>
      <c r="AD272" s="342"/>
      <c r="AE272" s="342"/>
      <c r="AF272" s="342"/>
      <c r="AG272" s="342"/>
      <c r="AH272" s="342"/>
      <c r="AI272" s="342"/>
      <c r="AJ272" s="342"/>
      <c r="AK272" s="342"/>
      <c r="AL272" s="342"/>
      <c r="AM272" s="342"/>
      <c r="AN272" s="342"/>
      <c r="AO272" s="342"/>
      <c r="AP272" s="342"/>
      <c r="AQ272" s="342"/>
      <c r="AR272" s="342"/>
      <c r="AS272" s="342"/>
      <c r="AT272" s="342"/>
      <c r="AU272" s="342"/>
      <c r="AV272" s="342"/>
      <c r="AW272" s="342"/>
      <c r="AX272" s="342"/>
      <c r="AY272" s="342"/>
      <c r="AZ272" s="342"/>
      <c r="BA272" s="342"/>
      <c r="BB272" s="342"/>
      <c r="BC272" s="342"/>
      <c r="BD272" s="342"/>
      <c r="BE272" s="342"/>
      <c r="BF272" s="342"/>
      <c r="BG272" s="342"/>
      <c r="BH272" s="342"/>
    </row>
    <row r="273" spans="27:60" s="256" customFormat="1">
      <c r="AA273" s="397"/>
      <c r="AB273" s="342"/>
      <c r="AC273" s="342"/>
      <c r="AD273" s="342"/>
      <c r="AE273" s="342"/>
      <c r="AF273" s="342"/>
      <c r="AG273" s="342"/>
      <c r="AH273" s="342"/>
      <c r="AI273" s="342"/>
      <c r="AJ273" s="342"/>
      <c r="AK273" s="342"/>
      <c r="AL273" s="342"/>
      <c r="AM273" s="342"/>
      <c r="AN273" s="342"/>
      <c r="AO273" s="342"/>
      <c r="AP273" s="342"/>
      <c r="AQ273" s="342"/>
      <c r="AR273" s="342"/>
      <c r="AS273" s="342"/>
      <c r="AT273" s="342"/>
      <c r="AU273" s="342"/>
      <c r="AV273" s="342"/>
      <c r="AW273" s="342"/>
      <c r="AX273" s="342"/>
      <c r="AY273" s="342"/>
      <c r="AZ273" s="342"/>
      <c r="BA273" s="342"/>
      <c r="BB273" s="342"/>
      <c r="BC273" s="342"/>
      <c r="BD273" s="342"/>
      <c r="BE273" s="342"/>
      <c r="BF273" s="342"/>
      <c r="BG273" s="342"/>
      <c r="BH273" s="342"/>
    </row>
    <row r="274" spans="27:60" s="256" customFormat="1">
      <c r="AA274" s="397"/>
      <c r="AB274" s="342"/>
      <c r="AC274" s="342"/>
      <c r="AD274" s="342"/>
      <c r="AE274" s="342"/>
      <c r="AF274" s="342"/>
      <c r="AG274" s="342"/>
      <c r="AH274" s="342"/>
      <c r="AI274" s="342"/>
      <c r="AJ274" s="342"/>
      <c r="AK274" s="342"/>
      <c r="AL274" s="342"/>
      <c r="AM274" s="342"/>
      <c r="AN274" s="342"/>
      <c r="AO274" s="342"/>
      <c r="AP274" s="342"/>
      <c r="AQ274" s="342"/>
      <c r="AR274" s="342"/>
      <c r="AS274" s="342"/>
      <c r="AT274" s="342"/>
      <c r="AU274" s="342"/>
      <c r="AV274" s="342"/>
      <c r="AW274" s="342"/>
      <c r="AX274" s="342"/>
      <c r="AY274" s="342"/>
      <c r="AZ274" s="342"/>
      <c r="BA274" s="342"/>
      <c r="BB274" s="342"/>
      <c r="BC274" s="342"/>
      <c r="BD274" s="342"/>
      <c r="BE274" s="342"/>
      <c r="BF274" s="342"/>
      <c r="BG274" s="342"/>
      <c r="BH274" s="342"/>
    </row>
    <row r="275" spans="27:60" s="256" customFormat="1">
      <c r="AA275" s="397"/>
      <c r="AB275" s="342"/>
      <c r="AC275" s="342"/>
      <c r="AD275" s="342"/>
      <c r="AE275" s="342"/>
      <c r="AF275" s="342"/>
      <c r="AG275" s="342"/>
      <c r="AH275" s="342"/>
      <c r="AI275" s="342"/>
      <c r="AJ275" s="342"/>
      <c r="AK275" s="342"/>
      <c r="AL275" s="342"/>
      <c r="AM275" s="342"/>
      <c r="AN275" s="342"/>
      <c r="AO275" s="342"/>
      <c r="AP275" s="342"/>
      <c r="AQ275" s="342"/>
      <c r="AR275" s="342"/>
      <c r="AS275" s="342"/>
      <c r="AT275" s="342"/>
      <c r="AU275" s="342"/>
      <c r="AV275" s="342"/>
      <c r="AW275" s="342"/>
      <c r="AX275" s="342"/>
      <c r="AY275" s="342"/>
      <c r="AZ275" s="342"/>
      <c r="BA275" s="342"/>
      <c r="BB275" s="342"/>
      <c r="BC275" s="342"/>
      <c r="BD275" s="342"/>
      <c r="BE275" s="342"/>
      <c r="BF275" s="342"/>
      <c r="BG275" s="342"/>
      <c r="BH275" s="342"/>
    </row>
    <row r="276" spans="27:60" s="256" customFormat="1">
      <c r="AA276" s="397"/>
      <c r="AB276" s="342"/>
      <c r="AC276" s="342"/>
      <c r="AD276" s="342"/>
      <c r="AE276" s="342"/>
      <c r="AF276" s="342"/>
      <c r="AG276" s="342"/>
      <c r="AH276" s="342"/>
      <c r="AI276" s="342"/>
      <c r="AJ276" s="342"/>
      <c r="AK276" s="342"/>
      <c r="AL276" s="342"/>
      <c r="AM276" s="342"/>
      <c r="AN276" s="342"/>
      <c r="AO276" s="342"/>
      <c r="AP276" s="342"/>
      <c r="AQ276" s="342"/>
      <c r="AR276" s="342"/>
      <c r="AS276" s="342"/>
      <c r="AT276" s="342"/>
      <c r="AU276" s="342"/>
      <c r="AV276" s="342"/>
      <c r="AW276" s="342"/>
      <c r="AX276" s="342"/>
      <c r="AY276" s="342"/>
      <c r="AZ276" s="342"/>
      <c r="BA276" s="342"/>
      <c r="BB276" s="342"/>
      <c r="BC276" s="342"/>
      <c r="BD276" s="342"/>
      <c r="BE276" s="342"/>
      <c r="BF276" s="342"/>
      <c r="BG276" s="342"/>
      <c r="BH276" s="342"/>
    </row>
    <row r="277" spans="27:60" s="256" customFormat="1">
      <c r="AB277" s="461"/>
      <c r="AC277" s="461"/>
      <c r="AD277" s="461"/>
      <c r="AE277" s="461"/>
      <c r="AF277" s="461"/>
      <c r="AG277" s="319"/>
      <c r="AH277" s="319"/>
      <c r="AI277" s="319"/>
      <c r="AJ277" s="319"/>
      <c r="AK277" s="319"/>
      <c r="AL277" s="319"/>
      <c r="AM277" s="319"/>
      <c r="AN277" s="319"/>
      <c r="AO277" s="319"/>
      <c r="AP277" s="319"/>
      <c r="AQ277" s="319"/>
      <c r="AR277" s="319"/>
      <c r="AS277" s="319"/>
      <c r="AT277" s="319"/>
      <c r="AU277" s="319"/>
      <c r="AV277" s="319"/>
      <c r="AW277" s="319"/>
      <c r="AX277" s="319"/>
      <c r="AY277" s="319"/>
      <c r="AZ277" s="319"/>
      <c r="BA277" s="319"/>
      <c r="BB277" s="319"/>
      <c r="BC277" s="319"/>
      <c r="BD277" s="319"/>
      <c r="BE277" s="319"/>
      <c r="BF277" s="319"/>
      <c r="BG277" s="319"/>
      <c r="BH277" s="319"/>
    </row>
    <row r="278" spans="27:60" s="256" customFormat="1">
      <c r="AB278" s="461"/>
      <c r="AC278" s="461"/>
      <c r="AD278" s="461"/>
      <c r="AE278" s="461"/>
      <c r="AF278" s="461"/>
      <c r="AG278" s="319"/>
      <c r="AH278" s="319"/>
      <c r="AI278" s="319"/>
      <c r="AJ278" s="319"/>
      <c r="AK278" s="319"/>
      <c r="AL278" s="319"/>
      <c r="AM278" s="319"/>
      <c r="AN278" s="319"/>
      <c r="AO278" s="319"/>
      <c r="AP278" s="319"/>
      <c r="AQ278" s="319"/>
      <c r="AR278" s="319"/>
      <c r="AS278" s="319"/>
      <c r="AT278" s="319"/>
      <c r="AU278" s="319"/>
      <c r="AV278" s="319"/>
      <c r="AW278" s="319"/>
      <c r="AX278" s="319"/>
      <c r="AY278" s="319"/>
      <c r="AZ278" s="319"/>
      <c r="BA278" s="319"/>
      <c r="BB278" s="319"/>
      <c r="BC278" s="319"/>
      <c r="BD278" s="319"/>
      <c r="BE278" s="319"/>
      <c r="BF278" s="319"/>
      <c r="BG278" s="319"/>
      <c r="BH278" s="319"/>
    </row>
    <row r="279" spans="27:60" s="256" customFormat="1">
      <c r="AB279" s="461"/>
      <c r="AC279" s="461"/>
      <c r="AD279" s="461"/>
      <c r="AE279" s="461"/>
      <c r="AF279" s="461"/>
      <c r="AG279" s="319"/>
      <c r="AH279" s="319"/>
      <c r="AI279" s="319"/>
      <c r="AJ279" s="319"/>
      <c r="AK279" s="319"/>
      <c r="AL279" s="319"/>
      <c r="AM279" s="319"/>
      <c r="AN279" s="319"/>
      <c r="AO279" s="319"/>
      <c r="AP279" s="319"/>
      <c r="AQ279" s="319"/>
      <c r="AR279" s="319"/>
      <c r="AS279" s="319"/>
      <c r="AT279" s="319"/>
      <c r="AU279" s="319"/>
      <c r="AV279" s="319"/>
      <c r="AW279" s="319"/>
      <c r="AX279" s="319"/>
      <c r="AY279" s="319"/>
      <c r="AZ279" s="319"/>
      <c r="BA279" s="319"/>
      <c r="BB279" s="319"/>
      <c r="BC279" s="319"/>
      <c r="BD279" s="319"/>
      <c r="BE279" s="319"/>
      <c r="BF279" s="319"/>
      <c r="BG279" s="319"/>
      <c r="BH279" s="319"/>
    </row>
    <row r="280" spans="27:60" s="256" customFormat="1">
      <c r="AB280" s="461"/>
      <c r="AC280" s="461"/>
      <c r="AD280" s="461"/>
      <c r="AE280" s="461"/>
      <c r="AF280" s="461"/>
      <c r="AG280" s="319"/>
      <c r="AH280" s="319"/>
      <c r="AI280" s="319"/>
      <c r="AJ280" s="319"/>
      <c r="AK280" s="319"/>
      <c r="AL280" s="319"/>
      <c r="AM280" s="319"/>
      <c r="AN280" s="319"/>
      <c r="AO280" s="319"/>
      <c r="AP280" s="319"/>
      <c r="AQ280" s="319"/>
      <c r="AR280" s="319"/>
      <c r="AS280" s="319"/>
      <c r="AT280" s="319"/>
      <c r="AU280" s="319"/>
      <c r="AV280" s="319"/>
      <c r="AW280" s="319"/>
      <c r="AX280" s="319"/>
      <c r="AY280" s="319"/>
      <c r="AZ280" s="319"/>
      <c r="BA280" s="319"/>
      <c r="BB280" s="319"/>
      <c r="BC280" s="319"/>
      <c r="BD280" s="319"/>
      <c r="BE280" s="319"/>
      <c r="BF280" s="319"/>
      <c r="BG280" s="319"/>
      <c r="BH280" s="319"/>
    </row>
    <row r="281" spans="27:60" s="256" customFormat="1">
      <c r="AB281" s="461"/>
      <c r="AC281" s="461"/>
      <c r="AD281" s="461"/>
      <c r="AE281" s="461"/>
      <c r="AF281" s="461"/>
      <c r="AG281" s="319"/>
      <c r="AH281" s="319"/>
      <c r="AI281" s="319"/>
      <c r="AJ281" s="319"/>
      <c r="AK281" s="319"/>
      <c r="AL281" s="319"/>
      <c r="AM281" s="319"/>
      <c r="AN281" s="319"/>
      <c r="AO281" s="319"/>
      <c r="AP281" s="319"/>
      <c r="AQ281" s="319"/>
      <c r="AR281" s="319"/>
      <c r="AS281" s="319"/>
      <c r="AT281" s="319"/>
      <c r="AU281" s="319"/>
      <c r="AV281" s="319"/>
      <c r="AW281" s="319"/>
      <c r="AX281" s="319"/>
      <c r="AY281" s="319"/>
      <c r="AZ281" s="319"/>
      <c r="BA281" s="319"/>
      <c r="BB281" s="319"/>
      <c r="BC281" s="319"/>
      <c r="BD281" s="319"/>
      <c r="BE281" s="319"/>
      <c r="BF281" s="319"/>
      <c r="BG281" s="319"/>
      <c r="BH281" s="319"/>
    </row>
    <row r="282" spans="27:60" s="256" customFormat="1">
      <c r="AB282" s="461"/>
      <c r="AC282" s="461"/>
      <c r="AD282" s="461"/>
      <c r="AE282" s="461"/>
      <c r="AF282" s="461"/>
      <c r="AG282" s="319"/>
      <c r="AH282" s="319"/>
      <c r="AI282" s="319"/>
      <c r="AJ282" s="319"/>
      <c r="AK282" s="319"/>
      <c r="AL282" s="319"/>
      <c r="AM282" s="319"/>
      <c r="AN282" s="319"/>
      <c r="AO282" s="319"/>
      <c r="AP282" s="319"/>
      <c r="AQ282" s="319"/>
      <c r="AR282" s="319"/>
      <c r="AS282" s="319"/>
      <c r="AT282" s="319"/>
      <c r="AU282" s="319"/>
      <c r="AV282" s="319"/>
      <c r="AW282" s="319"/>
      <c r="AX282" s="319"/>
      <c r="AY282" s="319"/>
      <c r="AZ282" s="319"/>
      <c r="BA282" s="319"/>
      <c r="BB282" s="319"/>
      <c r="BC282" s="319"/>
      <c r="BD282" s="319"/>
      <c r="BE282" s="319"/>
      <c r="BF282" s="319"/>
      <c r="BG282" s="319"/>
      <c r="BH282" s="319"/>
    </row>
    <row r="283" spans="27:60" s="256" customFormat="1">
      <c r="AB283" s="461"/>
      <c r="AC283" s="461"/>
      <c r="AD283" s="461"/>
      <c r="AE283" s="461"/>
      <c r="AF283" s="461"/>
      <c r="AG283" s="319"/>
      <c r="AH283" s="319"/>
      <c r="AI283" s="319"/>
      <c r="AJ283" s="319"/>
      <c r="AK283" s="319"/>
      <c r="AL283" s="319"/>
      <c r="AM283" s="319"/>
      <c r="AN283" s="319"/>
      <c r="AO283" s="319"/>
      <c r="AP283" s="319"/>
      <c r="AQ283" s="319"/>
      <c r="AR283" s="319"/>
      <c r="AS283" s="319"/>
      <c r="AT283" s="319"/>
      <c r="AU283" s="319"/>
      <c r="AV283" s="319"/>
      <c r="AW283" s="319"/>
      <c r="AX283" s="319"/>
      <c r="AY283" s="319"/>
      <c r="AZ283" s="319"/>
      <c r="BA283" s="319"/>
      <c r="BB283" s="319"/>
      <c r="BC283" s="319"/>
      <c r="BD283" s="319"/>
      <c r="BE283" s="319"/>
      <c r="BF283" s="319"/>
      <c r="BG283" s="319"/>
      <c r="BH283" s="319"/>
    </row>
    <row r="284" spans="27:60" s="256" customFormat="1">
      <c r="AB284" s="461"/>
      <c r="AC284" s="461"/>
      <c r="AD284" s="461"/>
      <c r="AE284" s="461"/>
      <c r="AF284" s="461"/>
      <c r="AG284" s="319"/>
      <c r="AH284" s="319"/>
      <c r="AI284" s="319"/>
      <c r="AJ284" s="319"/>
      <c r="AK284" s="319"/>
      <c r="AL284" s="319"/>
      <c r="AM284" s="319"/>
      <c r="AN284" s="319"/>
      <c r="AO284" s="319"/>
      <c r="AP284" s="319"/>
      <c r="AQ284" s="319"/>
      <c r="AR284" s="319"/>
      <c r="AS284" s="319"/>
      <c r="AT284" s="319"/>
      <c r="AU284" s="319"/>
      <c r="AV284" s="319"/>
      <c r="AW284" s="319"/>
      <c r="AX284" s="319"/>
      <c r="AY284" s="319"/>
      <c r="AZ284" s="319"/>
      <c r="BA284" s="319"/>
      <c r="BB284" s="319"/>
      <c r="BC284" s="319"/>
      <c r="BD284" s="319"/>
      <c r="BE284" s="319"/>
      <c r="BF284" s="319"/>
      <c r="BG284" s="319"/>
      <c r="BH284" s="319"/>
    </row>
    <row r="285" spans="27:60" s="256" customFormat="1">
      <c r="AB285" s="461"/>
      <c r="AC285" s="461"/>
      <c r="AD285" s="461"/>
      <c r="AE285" s="461"/>
      <c r="AF285" s="461"/>
      <c r="AG285" s="319"/>
      <c r="AH285" s="319"/>
      <c r="AI285" s="319"/>
      <c r="AJ285" s="319"/>
      <c r="AK285" s="319"/>
      <c r="AL285" s="319"/>
      <c r="AM285" s="319"/>
      <c r="AN285" s="319"/>
      <c r="AO285" s="319"/>
      <c r="AP285" s="319"/>
      <c r="AQ285" s="319"/>
      <c r="AR285" s="319"/>
      <c r="AS285" s="319"/>
      <c r="AT285" s="319"/>
      <c r="AU285" s="319"/>
      <c r="AV285" s="319"/>
      <c r="AW285" s="319"/>
      <c r="AX285" s="319"/>
      <c r="AY285" s="319"/>
      <c r="AZ285" s="319"/>
      <c r="BA285" s="319"/>
      <c r="BB285" s="319"/>
      <c r="BC285" s="319"/>
      <c r="BD285" s="319"/>
      <c r="BE285" s="319"/>
      <c r="BF285" s="319"/>
      <c r="BG285" s="319"/>
      <c r="BH285" s="319"/>
    </row>
    <row r="286" spans="27:60" s="256" customFormat="1">
      <c r="AB286" s="461"/>
      <c r="AC286" s="461"/>
      <c r="AD286" s="461"/>
      <c r="AE286" s="461"/>
      <c r="AF286" s="461"/>
      <c r="AG286" s="319"/>
      <c r="AH286" s="319"/>
      <c r="AI286" s="319"/>
      <c r="AJ286" s="319"/>
      <c r="AK286" s="319"/>
      <c r="AL286" s="319"/>
      <c r="AM286" s="319"/>
      <c r="AN286" s="319"/>
      <c r="AO286" s="319"/>
      <c r="AP286" s="319"/>
      <c r="AQ286" s="319"/>
      <c r="AR286" s="319"/>
      <c r="AS286" s="319"/>
      <c r="AT286" s="319"/>
      <c r="AU286" s="319"/>
      <c r="AV286" s="319"/>
      <c r="AW286" s="319"/>
      <c r="AX286" s="319"/>
      <c r="AY286" s="319"/>
      <c r="AZ286" s="319"/>
      <c r="BA286" s="319"/>
      <c r="BB286" s="319"/>
      <c r="BC286" s="319"/>
      <c r="BD286" s="319"/>
      <c r="BE286" s="319"/>
      <c r="BF286" s="319"/>
      <c r="BG286" s="319"/>
      <c r="BH286" s="319"/>
    </row>
    <row r="287" spans="27:60" s="256" customFormat="1">
      <c r="AB287" s="461"/>
      <c r="AC287" s="461"/>
      <c r="AD287" s="461"/>
      <c r="AE287" s="461"/>
      <c r="AF287" s="461"/>
      <c r="AG287" s="319"/>
      <c r="AH287" s="319"/>
      <c r="AI287" s="319"/>
      <c r="AJ287" s="319"/>
      <c r="AK287" s="319"/>
      <c r="AL287" s="319"/>
      <c r="AM287" s="319"/>
      <c r="AN287" s="319"/>
      <c r="AO287" s="319"/>
      <c r="AP287" s="319"/>
      <c r="AQ287" s="319"/>
      <c r="AR287" s="319"/>
      <c r="AS287" s="319"/>
      <c r="AT287" s="319"/>
      <c r="AU287" s="319"/>
      <c r="AV287" s="319"/>
      <c r="AW287" s="319"/>
      <c r="AX287" s="319"/>
      <c r="AY287" s="319"/>
      <c r="AZ287" s="319"/>
      <c r="BA287" s="319"/>
      <c r="BB287" s="319"/>
      <c r="BC287" s="319"/>
      <c r="BD287" s="319"/>
      <c r="BE287" s="319"/>
      <c r="BF287" s="319"/>
      <c r="BG287" s="319"/>
      <c r="BH287" s="319"/>
    </row>
    <row r="288" spans="27:60" s="256" customFormat="1">
      <c r="AB288" s="461"/>
      <c r="AC288" s="461"/>
      <c r="AD288" s="461"/>
      <c r="AE288" s="461"/>
      <c r="AF288" s="461"/>
      <c r="AG288" s="319"/>
      <c r="AH288" s="319"/>
      <c r="AI288" s="319"/>
      <c r="AJ288" s="319"/>
      <c r="AK288" s="319"/>
      <c r="AL288" s="319"/>
      <c r="AM288" s="319"/>
      <c r="AN288" s="319"/>
      <c r="AO288" s="319"/>
      <c r="AP288" s="319"/>
      <c r="AQ288" s="319"/>
      <c r="AR288" s="319"/>
      <c r="AS288" s="319"/>
      <c r="AT288" s="319"/>
      <c r="AU288" s="319"/>
      <c r="AV288" s="319"/>
      <c r="AW288" s="319"/>
      <c r="AX288" s="319"/>
      <c r="AY288" s="319"/>
      <c r="AZ288" s="319"/>
      <c r="BA288" s="319"/>
      <c r="BB288" s="319"/>
      <c r="BC288" s="319"/>
      <c r="BD288" s="319"/>
      <c r="BE288" s="319"/>
      <c r="BF288" s="319"/>
      <c r="BG288" s="319"/>
      <c r="BH288" s="319"/>
    </row>
    <row r="289" spans="28:60" s="256" customFormat="1">
      <c r="AB289" s="461"/>
      <c r="AC289" s="461"/>
      <c r="AD289" s="461"/>
      <c r="AE289" s="461"/>
      <c r="AF289" s="461"/>
      <c r="AG289" s="319"/>
      <c r="AH289" s="319"/>
      <c r="AI289" s="319"/>
      <c r="AJ289" s="319"/>
      <c r="AK289" s="319"/>
      <c r="AL289" s="319"/>
      <c r="AM289" s="319"/>
      <c r="AN289" s="319"/>
      <c r="AO289" s="319"/>
      <c r="AP289" s="319"/>
      <c r="AQ289" s="319"/>
      <c r="AR289" s="319"/>
      <c r="AS289" s="319"/>
      <c r="AT289" s="319"/>
      <c r="AU289" s="319"/>
      <c r="AV289" s="319"/>
      <c r="AW289" s="319"/>
      <c r="AX289" s="319"/>
      <c r="AY289" s="319"/>
      <c r="AZ289" s="319"/>
      <c r="BA289" s="319"/>
      <c r="BB289" s="319"/>
      <c r="BC289" s="319"/>
      <c r="BD289" s="319"/>
      <c r="BE289" s="319"/>
      <c r="BF289" s="319"/>
      <c r="BG289" s="319"/>
      <c r="BH289" s="319"/>
    </row>
    <row r="290" spans="28:60" s="256" customFormat="1">
      <c r="AB290" s="461"/>
      <c r="AC290" s="461"/>
      <c r="AD290" s="461"/>
      <c r="AE290" s="461"/>
      <c r="AF290" s="461"/>
      <c r="AG290" s="319"/>
      <c r="AH290" s="319"/>
      <c r="AI290" s="319"/>
      <c r="AJ290" s="319"/>
      <c r="AK290" s="319"/>
      <c r="AL290" s="319"/>
      <c r="AM290" s="319"/>
      <c r="AN290" s="319"/>
      <c r="AO290" s="319"/>
      <c r="AP290" s="319"/>
      <c r="AQ290" s="319"/>
      <c r="AR290" s="319"/>
      <c r="AS290" s="319"/>
      <c r="AT290" s="319"/>
      <c r="AU290" s="319"/>
      <c r="AV290" s="319"/>
      <c r="AW290" s="319"/>
      <c r="AX290" s="319"/>
      <c r="AY290" s="319"/>
      <c r="AZ290" s="319"/>
      <c r="BA290" s="319"/>
      <c r="BB290" s="319"/>
      <c r="BC290" s="319"/>
      <c r="BD290" s="319"/>
      <c r="BE290" s="319"/>
      <c r="BF290" s="319"/>
      <c r="BG290" s="319"/>
      <c r="BH290" s="319"/>
    </row>
    <row r="291" spans="28:60" s="256" customFormat="1">
      <c r="AB291" s="461"/>
      <c r="AC291" s="461"/>
      <c r="AD291" s="461"/>
      <c r="AE291" s="461"/>
      <c r="AF291" s="461"/>
      <c r="AG291" s="319"/>
      <c r="AH291" s="319"/>
      <c r="AI291" s="319"/>
      <c r="AJ291" s="319"/>
      <c r="AK291" s="319"/>
      <c r="AL291" s="319"/>
      <c r="AM291" s="319"/>
      <c r="AN291" s="319"/>
      <c r="AO291" s="319"/>
      <c r="AP291" s="319"/>
      <c r="AQ291" s="319"/>
      <c r="AR291" s="319"/>
      <c r="AS291" s="319"/>
      <c r="AT291" s="319"/>
      <c r="AU291" s="319"/>
      <c r="AV291" s="319"/>
      <c r="AW291" s="319"/>
      <c r="AX291" s="319"/>
      <c r="AY291" s="319"/>
      <c r="AZ291" s="319"/>
      <c r="BA291" s="319"/>
      <c r="BB291" s="319"/>
      <c r="BC291" s="319"/>
      <c r="BD291" s="319"/>
      <c r="BE291" s="319"/>
      <c r="BF291" s="319"/>
      <c r="BG291" s="319"/>
      <c r="BH291" s="319"/>
    </row>
    <row r="292" spans="28:60" s="256" customFormat="1">
      <c r="AB292" s="461"/>
      <c r="AC292" s="461"/>
      <c r="AD292" s="461"/>
      <c r="AE292" s="461"/>
      <c r="AF292" s="461"/>
      <c r="AG292" s="319"/>
      <c r="AH292" s="319"/>
      <c r="AI292" s="319"/>
      <c r="AJ292" s="319"/>
      <c r="AK292" s="319"/>
      <c r="AL292" s="319"/>
      <c r="AM292" s="319"/>
      <c r="AN292" s="319"/>
      <c r="AO292" s="319"/>
      <c r="AP292" s="319"/>
      <c r="AQ292" s="319"/>
      <c r="AR292" s="319"/>
      <c r="AS292" s="319"/>
      <c r="AT292" s="319"/>
      <c r="AU292" s="319"/>
      <c r="AV292" s="319"/>
      <c r="AW292" s="319"/>
      <c r="AX292" s="319"/>
      <c r="AY292" s="319"/>
      <c r="AZ292" s="319"/>
      <c r="BA292" s="319"/>
      <c r="BB292" s="319"/>
      <c r="BC292" s="319"/>
      <c r="BD292" s="319"/>
      <c r="BE292" s="319"/>
      <c r="BF292" s="319"/>
      <c r="BG292" s="319"/>
      <c r="BH292" s="319"/>
    </row>
    <row r="293" spans="28:60" s="256" customFormat="1">
      <c r="AB293" s="461"/>
      <c r="AC293" s="461"/>
      <c r="AD293" s="461"/>
      <c r="AE293" s="461"/>
      <c r="AF293" s="461"/>
      <c r="AG293" s="319"/>
      <c r="AH293" s="319"/>
      <c r="AI293" s="319"/>
      <c r="AJ293" s="319"/>
      <c r="AK293" s="319"/>
      <c r="AL293" s="319"/>
      <c r="AM293" s="319"/>
      <c r="AN293" s="319"/>
      <c r="AO293" s="319"/>
      <c r="AP293" s="319"/>
      <c r="AQ293" s="319"/>
      <c r="AR293" s="319"/>
      <c r="AS293" s="319"/>
      <c r="AT293" s="319"/>
      <c r="AU293" s="319"/>
      <c r="AV293" s="319"/>
      <c r="AW293" s="319"/>
      <c r="AX293" s="319"/>
      <c r="AY293" s="319"/>
      <c r="AZ293" s="319"/>
      <c r="BA293" s="319"/>
      <c r="BB293" s="319"/>
      <c r="BC293" s="319"/>
      <c r="BD293" s="319"/>
      <c r="BE293" s="319"/>
      <c r="BF293" s="319"/>
      <c r="BG293" s="319"/>
      <c r="BH293" s="319"/>
    </row>
    <row r="294" spans="28:60" s="256" customFormat="1">
      <c r="AB294" s="461"/>
      <c r="AC294" s="461"/>
      <c r="AD294" s="461"/>
      <c r="AE294" s="461"/>
      <c r="AF294" s="461"/>
      <c r="AG294" s="319"/>
      <c r="AH294" s="319"/>
      <c r="AI294" s="319"/>
      <c r="AJ294" s="319"/>
      <c r="AK294" s="319"/>
      <c r="AL294" s="319"/>
      <c r="AM294" s="319"/>
      <c r="AN294" s="319"/>
      <c r="AO294" s="319"/>
      <c r="AP294" s="319"/>
      <c r="AQ294" s="319"/>
      <c r="AR294" s="319"/>
      <c r="AS294" s="319"/>
      <c r="AT294" s="319"/>
      <c r="AU294" s="319"/>
      <c r="AV294" s="319"/>
      <c r="AW294" s="319"/>
      <c r="AX294" s="319"/>
      <c r="AY294" s="319"/>
      <c r="AZ294" s="319"/>
      <c r="BA294" s="319"/>
      <c r="BB294" s="319"/>
      <c r="BC294" s="319"/>
      <c r="BD294" s="319"/>
      <c r="BE294" s="319"/>
      <c r="BF294" s="319"/>
      <c r="BG294" s="319"/>
      <c r="BH294" s="319"/>
    </row>
    <row r="295" spans="28:60" s="256" customFormat="1">
      <c r="AB295" s="461"/>
      <c r="AC295" s="461"/>
      <c r="AD295" s="461"/>
      <c r="AE295" s="461"/>
      <c r="AF295" s="461"/>
      <c r="AG295" s="319"/>
      <c r="AH295" s="319"/>
      <c r="AI295" s="319"/>
      <c r="AJ295" s="319"/>
      <c r="AK295" s="319"/>
      <c r="AL295" s="319"/>
      <c r="AM295" s="319"/>
      <c r="AN295" s="319"/>
      <c r="AO295" s="319"/>
      <c r="AP295" s="319"/>
      <c r="AQ295" s="319"/>
      <c r="AR295" s="319"/>
      <c r="AS295" s="319"/>
      <c r="AT295" s="319"/>
      <c r="AU295" s="319"/>
      <c r="AV295" s="319"/>
      <c r="AW295" s="319"/>
      <c r="AX295" s="319"/>
      <c r="AY295" s="319"/>
      <c r="AZ295" s="319"/>
      <c r="BA295" s="319"/>
      <c r="BB295" s="319"/>
      <c r="BC295" s="319"/>
      <c r="BD295" s="319"/>
      <c r="BE295" s="319"/>
      <c r="BF295" s="319"/>
      <c r="BG295" s="319"/>
      <c r="BH295" s="319"/>
    </row>
    <row r="296" spans="28:60" s="256" customFormat="1">
      <c r="AB296" s="461"/>
      <c r="AC296" s="461"/>
      <c r="AD296" s="461"/>
      <c r="AE296" s="461"/>
      <c r="AF296" s="461"/>
      <c r="AG296" s="319"/>
      <c r="AH296" s="319"/>
      <c r="AI296" s="319"/>
      <c r="AJ296" s="319"/>
      <c r="AK296" s="319"/>
      <c r="AL296" s="319"/>
      <c r="AM296" s="319"/>
      <c r="AN296" s="319"/>
      <c r="AO296" s="319"/>
      <c r="AP296" s="319"/>
      <c r="AQ296" s="319"/>
      <c r="AR296" s="319"/>
      <c r="AS296" s="319"/>
      <c r="AT296" s="319"/>
      <c r="AU296" s="319"/>
      <c r="AV296" s="319"/>
      <c r="AW296" s="319"/>
      <c r="AX296" s="319"/>
      <c r="AY296" s="319"/>
      <c r="AZ296" s="319"/>
      <c r="BA296" s="319"/>
      <c r="BB296" s="319"/>
      <c r="BC296" s="319"/>
      <c r="BD296" s="319"/>
      <c r="BE296" s="319"/>
      <c r="BF296" s="319"/>
      <c r="BG296" s="319"/>
      <c r="BH296" s="319"/>
    </row>
    <row r="297" spans="28:60" s="256" customFormat="1">
      <c r="AB297" s="461"/>
      <c r="AC297" s="461"/>
      <c r="AD297" s="461"/>
      <c r="AE297" s="461"/>
      <c r="AF297" s="461"/>
      <c r="AG297" s="319"/>
      <c r="AH297" s="319"/>
      <c r="AI297" s="319"/>
      <c r="AJ297" s="319"/>
      <c r="AK297" s="319"/>
      <c r="AL297" s="319"/>
      <c r="AM297" s="319"/>
      <c r="AN297" s="319"/>
      <c r="AO297" s="319"/>
      <c r="AP297" s="319"/>
      <c r="AQ297" s="319"/>
      <c r="AR297" s="319"/>
      <c r="AS297" s="319"/>
      <c r="AT297" s="319"/>
      <c r="AU297" s="319"/>
      <c r="AV297" s="319"/>
      <c r="AW297" s="319"/>
      <c r="AX297" s="319"/>
      <c r="AY297" s="319"/>
      <c r="AZ297" s="319"/>
      <c r="BA297" s="319"/>
      <c r="BB297" s="319"/>
      <c r="BC297" s="319"/>
      <c r="BD297" s="319"/>
      <c r="BE297" s="319"/>
      <c r="BF297" s="319"/>
      <c r="BG297" s="319"/>
      <c r="BH297" s="319"/>
    </row>
    <row r="298" spans="28:60" s="256" customFormat="1">
      <c r="AB298" s="461"/>
      <c r="AC298" s="461"/>
      <c r="AD298" s="461"/>
      <c r="AE298" s="461"/>
      <c r="AF298" s="461"/>
      <c r="AG298" s="319"/>
      <c r="AH298" s="319"/>
      <c r="AI298" s="319"/>
      <c r="AJ298" s="319"/>
      <c r="AK298" s="319"/>
      <c r="AL298" s="319"/>
      <c r="AM298" s="319"/>
      <c r="AN298" s="319"/>
      <c r="AO298" s="319"/>
      <c r="AP298" s="319"/>
      <c r="AQ298" s="319"/>
      <c r="AR298" s="319"/>
      <c r="AS298" s="319"/>
      <c r="AT298" s="319"/>
      <c r="AU298" s="319"/>
      <c r="AV298" s="319"/>
      <c r="AW298" s="319"/>
      <c r="AX298" s="319"/>
      <c r="AY298" s="319"/>
      <c r="AZ298" s="319"/>
      <c r="BA298" s="319"/>
      <c r="BB298" s="319"/>
      <c r="BC298" s="319"/>
      <c r="BD298" s="319"/>
      <c r="BE298" s="319"/>
      <c r="BF298" s="319"/>
      <c r="BG298" s="319"/>
      <c r="BH298" s="319"/>
    </row>
    <row r="299" spans="28:60" s="256" customFormat="1">
      <c r="AB299" s="461"/>
      <c r="AC299" s="461"/>
      <c r="AD299" s="461"/>
      <c r="AE299" s="461"/>
      <c r="AF299" s="461"/>
      <c r="AG299" s="319"/>
      <c r="AH299" s="319"/>
      <c r="AI299" s="319"/>
      <c r="AJ299" s="319"/>
      <c r="AK299" s="319"/>
      <c r="AL299" s="319"/>
      <c r="AM299" s="319"/>
      <c r="AN299" s="319"/>
      <c r="AO299" s="319"/>
      <c r="AP299" s="319"/>
      <c r="AQ299" s="319"/>
      <c r="AR299" s="319"/>
      <c r="AS299" s="319"/>
      <c r="AT299" s="319"/>
      <c r="AU299" s="319"/>
      <c r="AV299" s="319"/>
      <c r="AW299" s="319"/>
      <c r="AX299" s="319"/>
      <c r="AY299" s="319"/>
      <c r="AZ299" s="319"/>
      <c r="BA299" s="319"/>
      <c r="BB299" s="319"/>
      <c r="BC299" s="319"/>
      <c r="BD299" s="319"/>
      <c r="BE299" s="319"/>
      <c r="BF299" s="319"/>
      <c r="BG299" s="319"/>
      <c r="BH299" s="319"/>
    </row>
    <row r="300" spans="28:60" s="256" customFormat="1">
      <c r="AB300" s="461"/>
      <c r="AC300" s="461"/>
      <c r="AD300" s="461"/>
      <c r="AE300" s="461"/>
      <c r="AF300" s="461"/>
      <c r="AG300" s="319"/>
      <c r="AH300" s="319"/>
      <c r="AI300" s="319"/>
      <c r="AJ300" s="319"/>
      <c r="AK300" s="319"/>
      <c r="AL300" s="319"/>
      <c r="AM300" s="319"/>
      <c r="AN300" s="319"/>
      <c r="AO300" s="319"/>
      <c r="AP300" s="319"/>
      <c r="AQ300" s="319"/>
      <c r="AR300" s="319"/>
      <c r="AS300" s="319"/>
      <c r="AT300" s="319"/>
      <c r="AU300" s="319"/>
      <c r="AV300" s="319"/>
      <c r="AW300" s="319"/>
      <c r="AX300" s="319"/>
      <c r="AY300" s="319"/>
      <c r="AZ300" s="319"/>
      <c r="BA300" s="319"/>
      <c r="BB300" s="319"/>
      <c r="BC300" s="319"/>
      <c r="BD300" s="319"/>
      <c r="BE300" s="319"/>
      <c r="BF300" s="319"/>
      <c r="BG300" s="319"/>
      <c r="BH300" s="319"/>
    </row>
    <row r="301" spans="28:60" s="256" customFormat="1">
      <c r="AB301" s="461"/>
      <c r="AC301" s="461"/>
      <c r="AD301" s="461"/>
      <c r="AE301" s="461"/>
      <c r="AF301" s="461"/>
      <c r="AG301" s="319"/>
      <c r="AH301" s="319"/>
      <c r="AI301" s="319"/>
      <c r="AJ301" s="319"/>
      <c r="AK301" s="319"/>
      <c r="AL301" s="319"/>
      <c r="AM301" s="319"/>
      <c r="AN301" s="319"/>
      <c r="AO301" s="319"/>
      <c r="AP301" s="319"/>
      <c r="AQ301" s="319"/>
      <c r="AR301" s="319"/>
      <c r="AS301" s="319"/>
      <c r="AT301" s="319"/>
      <c r="AU301" s="319"/>
      <c r="AV301" s="319"/>
      <c r="AW301" s="319"/>
      <c r="AX301" s="319"/>
      <c r="AY301" s="319"/>
      <c r="AZ301" s="319"/>
      <c r="BA301" s="319"/>
      <c r="BB301" s="319"/>
      <c r="BC301" s="319"/>
      <c r="BD301" s="319"/>
      <c r="BE301" s="319"/>
      <c r="BF301" s="319"/>
      <c r="BG301" s="319"/>
      <c r="BH301" s="319"/>
    </row>
    <row r="302" spans="28:60" s="256" customFormat="1">
      <c r="AB302" s="461"/>
      <c r="AC302" s="461"/>
      <c r="AD302" s="461"/>
      <c r="AE302" s="461"/>
      <c r="AF302" s="461"/>
      <c r="AG302" s="319"/>
      <c r="AH302" s="319"/>
      <c r="AI302" s="319"/>
      <c r="AJ302" s="319"/>
      <c r="AK302" s="319"/>
      <c r="AL302" s="319"/>
      <c r="AM302" s="319"/>
      <c r="AN302" s="319"/>
      <c r="AO302" s="319"/>
      <c r="AP302" s="319"/>
      <c r="AQ302" s="319"/>
      <c r="AR302" s="319"/>
      <c r="AS302" s="319"/>
      <c r="AT302" s="319"/>
      <c r="AU302" s="319"/>
      <c r="AV302" s="319"/>
      <c r="AW302" s="319"/>
      <c r="AX302" s="319"/>
      <c r="AY302" s="319"/>
      <c r="AZ302" s="319"/>
      <c r="BA302" s="319"/>
      <c r="BB302" s="319"/>
      <c r="BC302" s="319"/>
      <c r="BD302" s="319"/>
      <c r="BE302" s="319"/>
      <c r="BF302" s="319"/>
      <c r="BG302" s="319"/>
      <c r="BH302" s="319"/>
    </row>
    <row r="303" spans="28:60" s="256" customFormat="1">
      <c r="AB303" s="461"/>
      <c r="AC303" s="461"/>
      <c r="AD303" s="461"/>
      <c r="AE303" s="461"/>
      <c r="AF303" s="461"/>
      <c r="AG303" s="319"/>
      <c r="AH303" s="319"/>
      <c r="AI303" s="319"/>
      <c r="AJ303" s="319"/>
      <c r="AK303" s="319"/>
      <c r="AL303" s="319"/>
      <c r="AM303" s="319"/>
      <c r="AN303" s="319"/>
      <c r="AO303" s="319"/>
      <c r="AP303" s="319"/>
      <c r="AQ303" s="319"/>
      <c r="AR303" s="319"/>
      <c r="AS303" s="319"/>
      <c r="AT303" s="319"/>
      <c r="AU303" s="319"/>
      <c r="AV303" s="319"/>
      <c r="AW303" s="319"/>
      <c r="AX303" s="319"/>
      <c r="AY303" s="319"/>
      <c r="AZ303" s="319"/>
      <c r="BA303" s="319"/>
      <c r="BB303" s="319"/>
      <c r="BC303" s="319"/>
      <c r="BD303" s="319"/>
      <c r="BE303" s="319"/>
      <c r="BF303" s="319"/>
      <c r="BG303" s="319"/>
      <c r="BH303" s="319"/>
    </row>
    <row r="304" spans="28:60" s="256" customFormat="1">
      <c r="AB304" s="461"/>
      <c r="AC304" s="461"/>
      <c r="AD304" s="461"/>
      <c r="AE304" s="461"/>
      <c r="AF304" s="461"/>
      <c r="AG304" s="319"/>
      <c r="AH304" s="319"/>
      <c r="AI304" s="319"/>
      <c r="AJ304" s="319"/>
      <c r="AK304" s="319"/>
      <c r="AL304" s="319"/>
      <c r="AM304" s="319"/>
      <c r="AN304" s="319"/>
      <c r="AO304" s="319"/>
      <c r="AP304" s="319"/>
      <c r="AQ304" s="319"/>
      <c r="AR304" s="319"/>
      <c r="AS304" s="319"/>
      <c r="AT304" s="319"/>
      <c r="AU304" s="319"/>
      <c r="AV304" s="319"/>
      <c r="AW304" s="319"/>
      <c r="AX304" s="319"/>
      <c r="AY304" s="319"/>
      <c r="AZ304" s="319"/>
      <c r="BA304" s="319"/>
      <c r="BB304" s="319"/>
      <c r="BC304" s="319"/>
      <c r="BD304" s="319"/>
      <c r="BE304" s="319"/>
      <c r="BF304" s="319"/>
      <c r="BG304" s="319"/>
      <c r="BH304" s="319"/>
    </row>
    <row r="305" spans="28:60" s="256" customFormat="1">
      <c r="AB305" s="461"/>
      <c r="AC305" s="461"/>
      <c r="AD305" s="461"/>
      <c r="AE305" s="461"/>
      <c r="AF305" s="461"/>
      <c r="AG305" s="319"/>
      <c r="AH305" s="319"/>
      <c r="AI305" s="319"/>
      <c r="AJ305" s="319"/>
      <c r="AK305" s="319"/>
      <c r="AL305" s="319"/>
      <c r="AM305" s="319"/>
      <c r="AN305" s="319"/>
      <c r="AO305" s="319"/>
      <c r="AP305" s="319"/>
      <c r="AQ305" s="319"/>
      <c r="AR305" s="319"/>
      <c r="AS305" s="319"/>
      <c r="AT305" s="319"/>
      <c r="AU305" s="319"/>
      <c r="AV305" s="319"/>
      <c r="AW305" s="319"/>
      <c r="AX305" s="319"/>
      <c r="AY305" s="319"/>
      <c r="AZ305" s="319"/>
      <c r="BA305" s="319"/>
      <c r="BB305" s="319"/>
      <c r="BC305" s="319"/>
      <c r="BD305" s="319"/>
      <c r="BE305" s="319"/>
      <c r="BF305" s="319"/>
      <c r="BG305" s="319"/>
      <c r="BH305" s="319"/>
    </row>
    <row r="306" spans="28:60" s="256" customFormat="1">
      <c r="AB306" s="461"/>
      <c r="AC306" s="461"/>
      <c r="AD306" s="461"/>
      <c r="AE306" s="461"/>
      <c r="AF306" s="461"/>
      <c r="AG306" s="319"/>
      <c r="AH306" s="319"/>
      <c r="AI306" s="319"/>
      <c r="AJ306" s="319"/>
      <c r="AK306" s="319"/>
      <c r="AL306" s="319"/>
      <c r="AM306" s="319"/>
      <c r="AN306" s="319"/>
      <c r="AO306" s="319"/>
      <c r="AP306" s="319"/>
      <c r="AQ306" s="319"/>
      <c r="AR306" s="319"/>
      <c r="AS306" s="319"/>
      <c r="AT306" s="319"/>
      <c r="AU306" s="319"/>
      <c r="AV306" s="319"/>
      <c r="AW306" s="319"/>
      <c r="AX306" s="319"/>
      <c r="AY306" s="319"/>
      <c r="AZ306" s="319"/>
      <c r="BA306" s="319"/>
      <c r="BB306" s="319"/>
      <c r="BC306" s="319"/>
      <c r="BD306" s="319"/>
      <c r="BE306" s="319"/>
      <c r="BF306" s="319"/>
      <c r="BG306" s="319"/>
      <c r="BH306" s="319"/>
    </row>
    <row r="307" spans="28:60" s="256" customFormat="1">
      <c r="AB307" s="461"/>
      <c r="AC307" s="461"/>
      <c r="AD307" s="461"/>
      <c r="AE307" s="461"/>
      <c r="AF307" s="461"/>
      <c r="AG307" s="319"/>
      <c r="AH307" s="319"/>
      <c r="AI307" s="319"/>
      <c r="AJ307" s="319"/>
      <c r="AK307" s="319"/>
      <c r="AL307" s="319"/>
      <c r="AM307" s="319"/>
      <c r="AN307" s="319"/>
      <c r="AO307" s="319"/>
      <c r="AP307" s="319"/>
      <c r="AQ307" s="319"/>
      <c r="AR307" s="319"/>
      <c r="AS307" s="319"/>
      <c r="AT307" s="319"/>
      <c r="AU307" s="319"/>
      <c r="AV307" s="319"/>
      <c r="AW307" s="319"/>
      <c r="AX307" s="319"/>
      <c r="AY307" s="319"/>
      <c r="AZ307" s="319"/>
      <c r="BA307" s="319"/>
      <c r="BB307" s="319"/>
      <c r="BC307" s="319"/>
      <c r="BD307" s="319"/>
      <c r="BE307" s="319"/>
      <c r="BF307" s="319"/>
      <c r="BG307" s="319"/>
      <c r="BH307" s="319"/>
    </row>
    <row r="308" spans="28:60" s="256" customFormat="1">
      <c r="AB308" s="461"/>
      <c r="AC308" s="461"/>
      <c r="AD308" s="461"/>
      <c r="AE308" s="461"/>
      <c r="AF308" s="461"/>
      <c r="AG308" s="319"/>
      <c r="AH308" s="319"/>
      <c r="AI308" s="319"/>
      <c r="AJ308" s="319"/>
      <c r="AK308" s="319"/>
      <c r="AL308" s="319"/>
      <c r="AM308" s="319"/>
      <c r="AN308" s="319"/>
      <c r="AO308" s="319"/>
      <c r="AP308" s="319"/>
      <c r="AQ308" s="319"/>
      <c r="AR308" s="319"/>
      <c r="AS308" s="319"/>
      <c r="AT308" s="319"/>
      <c r="AU308" s="319"/>
      <c r="AV308" s="319"/>
      <c r="AW308" s="319"/>
      <c r="AX308" s="319"/>
      <c r="AY308" s="319"/>
      <c r="AZ308" s="319"/>
      <c r="BA308" s="319"/>
      <c r="BB308" s="319"/>
      <c r="BC308" s="319"/>
      <c r="BD308" s="319"/>
      <c r="BE308" s="319"/>
      <c r="BF308" s="319"/>
      <c r="BG308" s="319"/>
      <c r="BH308" s="319"/>
    </row>
    <row r="309" spans="28:60" s="256" customFormat="1">
      <c r="AB309" s="461"/>
      <c r="AC309" s="461"/>
      <c r="AD309" s="461"/>
      <c r="AE309" s="461"/>
      <c r="AF309" s="461"/>
      <c r="AG309" s="319"/>
      <c r="AH309" s="319"/>
      <c r="AI309" s="319"/>
      <c r="AJ309" s="319"/>
      <c r="AK309" s="319"/>
      <c r="AL309" s="319"/>
      <c r="AM309" s="319"/>
      <c r="AN309" s="319"/>
      <c r="AO309" s="319"/>
      <c r="AP309" s="319"/>
      <c r="AQ309" s="319"/>
      <c r="AR309" s="319"/>
      <c r="AS309" s="319"/>
      <c r="AT309" s="319"/>
      <c r="AU309" s="319"/>
      <c r="AV309" s="319"/>
      <c r="AW309" s="319"/>
      <c r="AX309" s="319"/>
      <c r="AY309" s="319"/>
      <c r="AZ309" s="319"/>
      <c r="BA309" s="319"/>
      <c r="BB309" s="319"/>
      <c r="BC309" s="319"/>
      <c r="BD309" s="319"/>
      <c r="BE309" s="319"/>
      <c r="BF309" s="319"/>
      <c r="BG309" s="319"/>
      <c r="BH309" s="319"/>
    </row>
    <row r="310" spans="28:60" s="256" customFormat="1">
      <c r="AB310" s="461"/>
      <c r="AC310" s="461"/>
      <c r="AD310" s="461"/>
      <c r="AE310" s="461"/>
      <c r="AF310" s="461"/>
      <c r="AG310" s="319"/>
      <c r="AH310" s="319"/>
      <c r="AI310" s="319"/>
      <c r="AJ310" s="319"/>
      <c r="AK310" s="319"/>
      <c r="AL310" s="319"/>
      <c r="AM310" s="319"/>
      <c r="AN310" s="319"/>
      <c r="AO310" s="319"/>
      <c r="AP310" s="319"/>
      <c r="AQ310" s="319"/>
      <c r="AR310" s="319"/>
      <c r="AS310" s="319"/>
      <c r="AT310" s="319"/>
      <c r="AU310" s="319"/>
      <c r="AV310" s="319"/>
      <c r="AW310" s="319"/>
      <c r="AX310" s="319"/>
      <c r="AY310" s="319"/>
      <c r="AZ310" s="319"/>
      <c r="BA310" s="319"/>
      <c r="BB310" s="319"/>
      <c r="BC310" s="319"/>
      <c r="BD310" s="319"/>
      <c r="BE310" s="319"/>
      <c r="BF310" s="319"/>
      <c r="BG310" s="319"/>
      <c r="BH310" s="319"/>
    </row>
    <row r="311" spans="28:60" s="256" customFormat="1">
      <c r="AB311" s="461"/>
      <c r="AC311" s="461"/>
      <c r="AD311" s="461"/>
      <c r="AE311" s="461"/>
      <c r="AF311" s="461"/>
      <c r="AG311" s="319"/>
      <c r="AH311" s="319"/>
      <c r="AI311" s="319"/>
      <c r="AJ311" s="319"/>
      <c r="AK311" s="319"/>
      <c r="AL311" s="319"/>
      <c r="AM311" s="319"/>
      <c r="AN311" s="319"/>
      <c r="AO311" s="319"/>
      <c r="AP311" s="319"/>
      <c r="AQ311" s="319"/>
      <c r="AR311" s="319"/>
      <c r="AS311" s="319"/>
      <c r="AT311" s="319"/>
      <c r="AU311" s="319"/>
      <c r="AV311" s="319"/>
      <c r="AW311" s="319"/>
      <c r="AX311" s="319"/>
      <c r="AY311" s="319"/>
      <c r="AZ311" s="319"/>
      <c r="BA311" s="319"/>
      <c r="BB311" s="319"/>
      <c r="BC311" s="319"/>
      <c r="BD311" s="319"/>
      <c r="BE311" s="319"/>
      <c r="BF311" s="319"/>
      <c r="BG311" s="319"/>
      <c r="BH311" s="319"/>
    </row>
    <row r="312" spans="28:60" s="256" customFormat="1">
      <c r="AB312" s="461"/>
      <c r="AC312" s="461"/>
      <c r="AD312" s="461"/>
      <c r="AE312" s="461"/>
      <c r="AF312" s="461"/>
      <c r="AG312" s="319"/>
      <c r="AH312" s="319"/>
      <c r="AI312" s="319"/>
      <c r="AJ312" s="319"/>
      <c r="AK312" s="319"/>
      <c r="AL312" s="319"/>
      <c r="AM312" s="319"/>
      <c r="AN312" s="319"/>
      <c r="AO312" s="319"/>
      <c r="AP312" s="319"/>
      <c r="AQ312" s="319"/>
      <c r="AR312" s="319"/>
      <c r="AS312" s="319"/>
      <c r="AT312" s="319"/>
      <c r="AU312" s="319"/>
      <c r="AV312" s="319"/>
      <c r="AW312" s="319"/>
      <c r="AX312" s="319"/>
      <c r="AY312" s="319"/>
      <c r="AZ312" s="319"/>
      <c r="BA312" s="319"/>
      <c r="BB312" s="319"/>
      <c r="BC312" s="319"/>
      <c r="BD312" s="319"/>
      <c r="BE312" s="319"/>
      <c r="BF312" s="319"/>
      <c r="BG312" s="319"/>
      <c r="BH312" s="319"/>
    </row>
    <row r="313" spans="28:60" s="256" customFormat="1">
      <c r="AB313" s="461"/>
      <c r="AC313" s="461"/>
      <c r="AD313" s="461"/>
      <c r="AE313" s="461"/>
      <c r="AF313" s="461"/>
      <c r="AG313" s="319"/>
      <c r="AH313" s="319"/>
      <c r="AI313" s="319"/>
      <c r="AJ313" s="319"/>
      <c r="AK313" s="319"/>
      <c r="AL313" s="319"/>
      <c r="AM313" s="319"/>
      <c r="AN313" s="319"/>
      <c r="AO313" s="319"/>
      <c r="AP313" s="319"/>
      <c r="AQ313" s="319"/>
      <c r="AR313" s="319"/>
      <c r="AS313" s="319"/>
      <c r="AT313" s="319"/>
      <c r="AU313" s="319"/>
      <c r="AV313" s="319"/>
      <c r="AW313" s="319"/>
      <c r="AX313" s="319"/>
      <c r="AY313" s="319"/>
      <c r="AZ313" s="319"/>
      <c r="BA313" s="319"/>
      <c r="BB313" s="319"/>
      <c r="BC313" s="319"/>
      <c r="BD313" s="319"/>
      <c r="BE313" s="319"/>
      <c r="BF313" s="319"/>
      <c r="BG313" s="319"/>
      <c r="BH313" s="319"/>
    </row>
    <row r="314" spans="28:60" s="256" customFormat="1">
      <c r="AB314" s="461"/>
      <c r="AC314" s="461"/>
      <c r="AD314" s="461"/>
      <c r="AE314" s="461"/>
      <c r="AF314" s="461"/>
      <c r="AG314" s="319"/>
      <c r="AH314" s="319"/>
      <c r="AI314" s="319"/>
      <c r="AJ314" s="319"/>
      <c r="AK314" s="319"/>
      <c r="AL314" s="319"/>
      <c r="AM314" s="319"/>
      <c r="AN314" s="319"/>
      <c r="AO314" s="319"/>
      <c r="AP314" s="319"/>
      <c r="AQ314" s="319"/>
      <c r="AR314" s="319"/>
      <c r="AS314" s="319"/>
      <c r="AT314" s="319"/>
      <c r="AU314" s="319"/>
      <c r="AV314" s="319"/>
      <c r="AW314" s="319"/>
      <c r="AX314" s="319"/>
      <c r="AY314" s="319"/>
      <c r="AZ314" s="319"/>
      <c r="BA314" s="319"/>
      <c r="BB314" s="319"/>
      <c r="BC314" s="319"/>
      <c r="BD314" s="319"/>
      <c r="BE314" s="319"/>
      <c r="BF314" s="319"/>
      <c r="BG314" s="319"/>
      <c r="BH314" s="319"/>
    </row>
    <row r="315" spans="28:60" s="256" customFormat="1">
      <c r="AB315" s="461"/>
      <c r="AC315" s="461"/>
      <c r="AD315" s="461"/>
      <c r="AE315" s="461"/>
      <c r="AF315" s="461"/>
      <c r="AG315" s="319"/>
      <c r="AH315" s="319"/>
      <c r="AI315" s="319"/>
      <c r="AJ315" s="319"/>
      <c r="AK315" s="319"/>
      <c r="AL315" s="319"/>
      <c r="AM315" s="319"/>
      <c r="AN315" s="319"/>
      <c r="AO315" s="319"/>
      <c r="AP315" s="319"/>
      <c r="AQ315" s="319"/>
      <c r="AR315" s="319"/>
      <c r="AS315" s="319"/>
      <c r="AT315" s="319"/>
      <c r="AU315" s="319"/>
      <c r="AV315" s="319"/>
      <c r="AW315" s="319"/>
      <c r="AX315" s="319"/>
      <c r="AY315" s="319"/>
      <c r="AZ315" s="319"/>
      <c r="BA315" s="319"/>
      <c r="BB315" s="319"/>
      <c r="BC315" s="319"/>
      <c r="BD315" s="319"/>
      <c r="BE315" s="319"/>
      <c r="BF315" s="319"/>
      <c r="BG315" s="319"/>
      <c r="BH315" s="319"/>
    </row>
    <row r="316" spans="28:60" s="256" customFormat="1">
      <c r="AB316" s="461"/>
      <c r="AC316" s="461"/>
      <c r="AD316" s="461"/>
      <c r="AE316" s="461"/>
      <c r="AF316" s="461"/>
      <c r="AG316" s="319"/>
      <c r="AH316" s="319"/>
      <c r="AI316" s="319"/>
      <c r="AJ316" s="319"/>
      <c r="AK316" s="319"/>
      <c r="AL316" s="319"/>
      <c r="AM316" s="319"/>
      <c r="AN316" s="319"/>
      <c r="AO316" s="319"/>
      <c r="AP316" s="319"/>
      <c r="AQ316" s="319"/>
      <c r="AR316" s="319"/>
      <c r="AS316" s="319"/>
      <c r="AT316" s="319"/>
      <c r="AU316" s="319"/>
      <c r="AV316" s="319"/>
      <c r="AW316" s="319"/>
      <c r="AX316" s="319"/>
      <c r="AY316" s="319"/>
      <c r="AZ316" s="319"/>
      <c r="BA316" s="319"/>
      <c r="BB316" s="319"/>
      <c r="BC316" s="319"/>
      <c r="BD316" s="319"/>
      <c r="BE316" s="319"/>
      <c r="BF316" s="319"/>
      <c r="BG316" s="319"/>
      <c r="BH316" s="319"/>
    </row>
    <row r="317" spans="28:60" s="256" customFormat="1">
      <c r="AB317" s="461"/>
      <c r="AC317" s="461"/>
      <c r="AD317" s="461"/>
      <c r="AE317" s="461"/>
      <c r="AF317" s="461"/>
      <c r="AG317" s="319"/>
      <c r="AH317" s="319"/>
      <c r="AI317" s="319"/>
      <c r="AJ317" s="319"/>
      <c r="AK317" s="319"/>
      <c r="AL317" s="319"/>
      <c r="AM317" s="319"/>
      <c r="AN317" s="319"/>
      <c r="AO317" s="319"/>
      <c r="AP317" s="319"/>
      <c r="AQ317" s="319"/>
      <c r="AR317" s="319"/>
      <c r="AS317" s="319"/>
      <c r="AT317" s="319"/>
      <c r="AU317" s="319"/>
      <c r="AV317" s="319"/>
      <c r="AW317" s="319"/>
      <c r="AX317" s="319"/>
      <c r="AY317" s="319"/>
      <c r="AZ317" s="319"/>
      <c r="BA317" s="319"/>
      <c r="BB317" s="319"/>
      <c r="BC317" s="319"/>
      <c r="BD317" s="319"/>
      <c r="BE317" s="319"/>
      <c r="BF317" s="319"/>
      <c r="BG317" s="319"/>
      <c r="BH317" s="319"/>
    </row>
    <row r="318" spans="28:60" s="256" customFormat="1">
      <c r="AB318" s="461"/>
      <c r="AC318" s="461"/>
      <c r="AD318" s="461"/>
      <c r="AE318" s="461"/>
      <c r="AF318" s="461"/>
      <c r="AG318" s="319"/>
      <c r="AH318" s="319"/>
      <c r="AI318" s="319"/>
      <c r="AJ318" s="319"/>
      <c r="AK318" s="319"/>
      <c r="AL318" s="319"/>
      <c r="AM318" s="319"/>
      <c r="AN318" s="319"/>
      <c r="AO318" s="319"/>
      <c r="AP318" s="319"/>
      <c r="AQ318" s="319"/>
      <c r="AR318" s="319"/>
      <c r="AS318" s="319"/>
      <c r="AT318" s="319"/>
      <c r="AU318" s="319"/>
      <c r="AV318" s="319"/>
      <c r="AW318" s="319"/>
      <c r="AX318" s="319"/>
      <c r="AY318" s="319"/>
      <c r="AZ318" s="319"/>
      <c r="BA318" s="319"/>
      <c r="BB318" s="319"/>
      <c r="BC318" s="319"/>
      <c r="BD318" s="319"/>
      <c r="BE318" s="319"/>
      <c r="BF318" s="319"/>
      <c r="BG318" s="319"/>
      <c r="BH318" s="319"/>
    </row>
    <row r="319" spans="28:60" s="256" customFormat="1">
      <c r="AB319" s="461"/>
      <c r="AC319" s="461"/>
      <c r="AD319" s="461"/>
      <c r="AE319" s="461"/>
      <c r="AF319" s="461"/>
      <c r="AG319" s="319"/>
      <c r="AH319" s="319"/>
      <c r="AI319" s="319"/>
      <c r="AJ319" s="319"/>
      <c r="AK319" s="319"/>
      <c r="AL319" s="319"/>
      <c r="AM319" s="319"/>
      <c r="AN319" s="319"/>
      <c r="AO319" s="319"/>
      <c r="AP319" s="319"/>
      <c r="AQ319" s="319"/>
      <c r="AR319" s="319"/>
      <c r="AS319" s="319"/>
      <c r="AT319" s="319"/>
      <c r="AU319" s="319"/>
      <c r="AV319" s="319"/>
      <c r="AW319" s="319"/>
      <c r="AX319" s="319"/>
      <c r="AY319" s="319"/>
      <c r="AZ319" s="319"/>
      <c r="BA319" s="319"/>
      <c r="BB319" s="319"/>
      <c r="BC319" s="319"/>
      <c r="BD319" s="319"/>
      <c r="BE319" s="319"/>
      <c r="BF319" s="319"/>
      <c r="BG319" s="319"/>
      <c r="BH319" s="319"/>
    </row>
    <row r="320" spans="28:60" s="256" customFormat="1">
      <c r="AB320" s="461"/>
      <c r="AC320" s="461"/>
      <c r="AD320" s="461"/>
      <c r="AE320" s="461"/>
      <c r="AF320" s="461"/>
      <c r="AG320" s="319"/>
      <c r="AH320" s="319"/>
      <c r="AI320" s="319"/>
      <c r="AJ320" s="319"/>
      <c r="AK320" s="319"/>
      <c r="AL320" s="319"/>
      <c r="AM320" s="319"/>
      <c r="AN320" s="319"/>
      <c r="AO320" s="319"/>
      <c r="AP320" s="319"/>
      <c r="AQ320" s="319"/>
      <c r="AR320" s="319"/>
      <c r="AS320" s="319"/>
      <c r="AT320" s="319"/>
      <c r="AU320" s="319"/>
      <c r="AV320" s="319"/>
      <c r="AW320" s="319"/>
      <c r="AX320" s="319"/>
      <c r="AY320" s="319"/>
      <c r="AZ320" s="319"/>
      <c r="BA320" s="319"/>
      <c r="BB320" s="319"/>
      <c r="BC320" s="319"/>
      <c r="BD320" s="319"/>
      <c r="BE320" s="319"/>
      <c r="BF320" s="319"/>
      <c r="BG320" s="319"/>
      <c r="BH320" s="319"/>
    </row>
    <row r="321" spans="28:60" s="256" customFormat="1">
      <c r="AB321" s="461"/>
      <c r="AC321" s="461"/>
      <c r="AD321" s="461"/>
      <c r="AE321" s="461"/>
      <c r="AF321" s="461"/>
      <c r="AG321" s="319"/>
      <c r="AH321" s="319"/>
      <c r="AI321" s="319"/>
      <c r="AJ321" s="319"/>
      <c r="AK321" s="319"/>
      <c r="AL321" s="319"/>
      <c r="AM321" s="319"/>
      <c r="AN321" s="319"/>
      <c r="AO321" s="319"/>
      <c r="AP321" s="319"/>
      <c r="AQ321" s="319"/>
      <c r="AR321" s="319"/>
      <c r="AS321" s="319"/>
      <c r="AT321" s="319"/>
      <c r="AU321" s="319"/>
      <c r="AV321" s="319"/>
      <c r="AW321" s="319"/>
      <c r="AX321" s="319"/>
      <c r="AY321" s="319"/>
      <c r="AZ321" s="319"/>
      <c r="BA321" s="319"/>
      <c r="BB321" s="319"/>
      <c r="BC321" s="319"/>
      <c r="BD321" s="319"/>
      <c r="BE321" s="319"/>
      <c r="BF321" s="319"/>
      <c r="BG321" s="319"/>
      <c r="BH321" s="319"/>
    </row>
    <row r="322" spans="28:60" s="256" customFormat="1">
      <c r="AB322" s="461"/>
      <c r="AC322" s="461"/>
      <c r="AD322" s="461"/>
      <c r="AE322" s="461"/>
      <c r="AF322" s="461"/>
      <c r="AG322" s="319"/>
      <c r="AH322" s="319"/>
      <c r="AI322" s="319"/>
      <c r="AJ322" s="319"/>
      <c r="AK322" s="319"/>
      <c r="AL322" s="319"/>
      <c r="AM322" s="319"/>
      <c r="AN322" s="319"/>
      <c r="AO322" s="319"/>
      <c r="AP322" s="319"/>
      <c r="AQ322" s="319"/>
      <c r="AR322" s="319"/>
      <c r="AS322" s="319"/>
      <c r="AT322" s="319"/>
      <c r="AU322" s="319"/>
      <c r="AV322" s="319"/>
      <c r="AW322" s="319"/>
      <c r="AX322" s="319"/>
      <c r="AY322" s="319"/>
      <c r="AZ322" s="319"/>
      <c r="BA322" s="319"/>
      <c r="BB322" s="319"/>
      <c r="BC322" s="319"/>
      <c r="BD322" s="319"/>
      <c r="BE322" s="319"/>
      <c r="BF322" s="319"/>
      <c r="BG322" s="319"/>
      <c r="BH322" s="319"/>
    </row>
    <row r="323" spans="28:60" s="256" customFormat="1">
      <c r="AB323" s="461"/>
      <c r="AC323" s="461"/>
      <c r="AD323" s="461"/>
      <c r="AE323" s="461"/>
      <c r="AF323" s="461"/>
      <c r="AG323" s="319"/>
      <c r="AH323" s="319"/>
      <c r="AI323" s="319"/>
      <c r="AJ323" s="319"/>
      <c r="AK323" s="319"/>
      <c r="AL323" s="319"/>
      <c r="AM323" s="319"/>
      <c r="AN323" s="319"/>
      <c r="AO323" s="319"/>
      <c r="AP323" s="319"/>
      <c r="AQ323" s="319"/>
      <c r="AR323" s="319"/>
      <c r="AS323" s="319"/>
      <c r="AT323" s="319"/>
      <c r="AU323" s="319"/>
      <c r="AV323" s="319"/>
      <c r="AW323" s="319"/>
      <c r="AX323" s="319"/>
      <c r="AY323" s="319"/>
      <c r="AZ323" s="319"/>
      <c r="BA323" s="319"/>
      <c r="BB323" s="319"/>
      <c r="BC323" s="319"/>
      <c r="BD323" s="319"/>
      <c r="BE323" s="319"/>
      <c r="BF323" s="319"/>
      <c r="BG323" s="319"/>
      <c r="BH323" s="319"/>
    </row>
    <row r="324" spans="28:60" s="256" customFormat="1">
      <c r="AB324" s="461"/>
      <c r="AC324" s="461"/>
      <c r="AD324" s="461"/>
      <c r="AE324" s="461"/>
      <c r="AF324" s="461"/>
      <c r="AG324" s="319"/>
      <c r="AH324" s="319"/>
      <c r="AI324" s="319"/>
      <c r="AJ324" s="319"/>
      <c r="AK324" s="319"/>
      <c r="AL324" s="319"/>
      <c r="AM324" s="319"/>
      <c r="AN324" s="319"/>
      <c r="AO324" s="319"/>
      <c r="AP324" s="319"/>
      <c r="AQ324" s="319"/>
      <c r="AR324" s="319"/>
      <c r="AS324" s="319"/>
      <c r="AT324" s="319"/>
      <c r="AU324" s="319"/>
      <c r="AV324" s="319"/>
      <c r="AW324" s="319"/>
      <c r="AX324" s="319"/>
      <c r="AY324" s="319"/>
      <c r="AZ324" s="319"/>
      <c r="BA324" s="319"/>
      <c r="BB324" s="319"/>
      <c r="BC324" s="319"/>
      <c r="BD324" s="319"/>
      <c r="BE324" s="319"/>
      <c r="BF324" s="319"/>
      <c r="BG324" s="319"/>
      <c r="BH324" s="319"/>
    </row>
    <row r="325" spans="28:60" s="256" customFormat="1">
      <c r="AB325" s="461"/>
      <c r="AC325" s="461"/>
      <c r="AD325" s="461"/>
      <c r="AE325" s="461"/>
      <c r="AF325" s="461"/>
      <c r="AG325" s="319"/>
      <c r="AH325" s="319"/>
      <c r="AI325" s="319"/>
      <c r="AJ325" s="319"/>
      <c r="AK325" s="319"/>
      <c r="AL325" s="319"/>
      <c r="AM325" s="319"/>
      <c r="AN325" s="319"/>
      <c r="AO325" s="319"/>
      <c r="AP325" s="319"/>
      <c r="AQ325" s="319"/>
      <c r="AR325" s="319"/>
      <c r="AS325" s="319"/>
      <c r="AT325" s="319"/>
      <c r="AU325" s="319"/>
      <c r="AV325" s="319"/>
      <c r="AW325" s="319"/>
      <c r="AX325" s="319"/>
      <c r="AY325" s="319"/>
      <c r="AZ325" s="319"/>
      <c r="BA325" s="319"/>
      <c r="BB325" s="319"/>
      <c r="BC325" s="319"/>
      <c r="BD325" s="319"/>
      <c r="BE325" s="319"/>
      <c r="BF325" s="319"/>
      <c r="BG325" s="319"/>
      <c r="BH325" s="319"/>
    </row>
    <row r="326" spans="28:60" s="256" customFormat="1">
      <c r="AB326" s="461"/>
      <c r="AC326" s="461"/>
      <c r="AD326" s="461"/>
      <c r="AE326" s="461"/>
      <c r="AF326" s="461"/>
      <c r="AG326" s="319"/>
      <c r="AH326" s="319"/>
      <c r="AI326" s="319"/>
      <c r="AJ326" s="319"/>
      <c r="AK326" s="319"/>
      <c r="AL326" s="319"/>
      <c r="AM326" s="319"/>
      <c r="AN326" s="319"/>
      <c r="AO326" s="319"/>
      <c r="AP326" s="319"/>
      <c r="AQ326" s="319"/>
      <c r="AR326" s="319"/>
      <c r="AS326" s="319"/>
      <c r="AT326" s="319"/>
      <c r="AU326" s="319"/>
      <c r="AV326" s="319"/>
      <c r="AW326" s="319"/>
      <c r="AX326" s="319"/>
      <c r="AY326" s="319"/>
      <c r="AZ326" s="319"/>
      <c r="BA326" s="319"/>
      <c r="BB326" s="319"/>
      <c r="BC326" s="319"/>
      <c r="BD326" s="319"/>
      <c r="BE326" s="319"/>
      <c r="BF326" s="319"/>
      <c r="BG326" s="319"/>
      <c r="BH326" s="319"/>
    </row>
    <row r="327" spans="28:60" s="256" customFormat="1">
      <c r="AB327" s="461"/>
      <c r="AC327" s="461"/>
      <c r="AD327" s="461"/>
      <c r="AE327" s="461"/>
      <c r="AF327" s="461"/>
      <c r="AG327" s="319"/>
      <c r="AH327" s="319"/>
      <c r="AI327" s="319"/>
      <c r="AJ327" s="319"/>
      <c r="AK327" s="319"/>
      <c r="AL327" s="319"/>
      <c r="AM327" s="319"/>
      <c r="AN327" s="319"/>
      <c r="AO327" s="319"/>
      <c r="AP327" s="319"/>
      <c r="AQ327" s="319"/>
      <c r="AR327" s="319"/>
      <c r="AS327" s="319"/>
      <c r="AT327" s="319"/>
      <c r="AU327" s="319"/>
      <c r="AV327" s="319"/>
      <c r="AW327" s="319"/>
      <c r="AX327" s="319"/>
      <c r="AY327" s="319"/>
      <c r="AZ327" s="319"/>
      <c r="BA327" s="319"/>
      <c r="BB327" s="319"/>
      <c r="BC327" s="319"/>
      <c r="BD327" s="319"/>
      <c r="BE327" s="319"/>
      <c r="BF327" s="319"/>
      <c r="BG327" s="319"/>
      <c r="BH327" s="319"/>
    </row>
    <row r="328" spans="28:60" s="256" customFormat="1">
      <c r="AB328" s="461"/>
      <c r="AC328" s="461"/>
      <c r="AD328" s="461"/>
      <c r="AE328" s="461"/>
      <c r="AF328" s="461"/>
      <c r="AG328" s="319"/>
      <c r="AH328" s="319"/>
      <c r="AI328" s="319"/>
      <c r="AJ328" s="319"/>
      <c r="AK328" s="319"/>
      <c r="AL328" s="319"/>
      <c r="AM328" s="319"/>
      <c r="AN328" s="319"/>
      <c r="AO328" s="319"/>
      <c r="AP328" s="319"/>
      <c r="AQ328" s="319"/>
      <c r="AR328" s="319"/>
      <c r="AS328" s="319"/>
      <c r="AT328" s="319"/>
      <c r="AU328" s="319"/>
      <c r="AV328" s="319"/>
      <c r="AW328" s="319"/>
      <c r="AX328" s="319"/>
      <c r="AY328" s="319"/>
      <c r="AZ328" s="319"/>
      <c r="BA328" s="319"/>
      <c r="BB328" s="319"/>
      <c r="BC328" s="319"/>
      <c r="BD328" s="319"/>
      <c r="BE328" s="319"/>
      <c r="BF328" s="319"/>
      <c r="BG328" s="319"/>
      <c r="BH328" s="319"/>
    </row>
    <row r="329" spans="28:60" s="256" customFormat="1">
      <c r="AB329" s="461"/>
      <c r="AC329" s="461"/>
      <c r="AD329" s="461"/>
      <c r="AE329" s="461"/>
      <c r="AF329" s="461"/>
      <c r="AG329" s="319"/>
      <c r="AH329" s="319"/>
      <c r="AI329" s="319"/>
      <c r="AJ329" s="319"/>
      <c r="AK329" s="319"/>
      <c r="AL329" s="319"/>
      <c r="AM329" s="319"/>
      <c r="AN329" s="319"/>
      <c r="AO329" s="319"/>
      <c r="AP329" s="319"/>
      <c r="AQ329" s="319"/>
      <c r="AR329" s="319"/>
      <c r="AS329" s="319"/>
      <c r="AT329" s="319"/>
      <c r="AU329" s="319"/>
      <c r="AV329" s="319"/>
      <c r="AW329" s="319"/>
      <c r="AX329" s="319"/>
      <c r="AY329" s="319"/>
      <c r="AZ329" s="319"/>
      <c r="BA329" s="319"/>
      <c r="BB329" s="319"/>
      <c r="BC329" s="319"/>
      <c r="BD329" s="319"/>
      <c r="BE329" s="319"/>
      <c r="BF329" s="319"/>
      <c r="BG329" s="319"/>
      <c r="BH329" s="319"/>
    </row>
    <row r="330" spans="28:60" s="256" customFormat="1">
      <c r="AB330" s="461"/>
      <c r="AC330" s="461"/>
      <c r="AD330" s="461"/>
      <c r="AE330" s="461"/>
      <c r="AF330" s="461"/>
      <c r="AG330" s="319"/>
      <c r="AH330" s="319"/>
      <c r="AI330" s="319"/>
      <c r="AJ330" s="319"/>
      <c r="AK330" s="319"/>
      <c r="AL330" s="319"/>
      <c r="AM330" s="319"/>
      <c r="AN330" s="319"/>
      <c r="AO330" s="319"/>
      <c r="AP330" s="319"/>
      <c r="AQ330" s="319"/>
      <c r="AR330" s="319"/>
      <c r="AS330" s="319"/>
      <c r="AT330" s="319"/>
      <c r="AU330" s="319"/>
      <c r="AV330" s="319"/>
      <c r="AW330" s="319"/>
      <c r="AX330" s="319"/>
      <c r="AY330" s="319"/>
      <c r="AZ330" s="319"/>
      <c r="BA330" s="319"/>
      <c r="BB330" s="319"/>
      <c r="BC330" s="319"/>
      <c r="BD330" s="319"/>
      <c r="BE330" s="319"/>
      <c r="BF330" s="319"/>
      <c r="BG330" s="319"/>
      <c r="BH330" s="319"/>
    </row>
    <row r="331" spans="28:60" s="256" customFormat="1">
      <c r="AB331" s="461"/>
      <c r="AC331" s="461"/>
      <c r="AD331" s="461"/>
      <c r="AE331" s="461"/>
      <c r="AF331" s="461"/>
      <c r="AG331" s="319"/>
      <c r="AH331" s="319"/>
      <c r="AI331" s="319"/>
      <c r="AJ331" s="319"/>
      <c r="AK331" s="319"/>
      <c r="AL331" s="319"/>
      <c r="AM331" s="319"/>
      <c r="AN331" s="319"/>
      <c r="AO331" s="319"/>
      <c r="AP331" s="319"/>
      <c r="AQ331" s="319"/>
      <c r="AR331" s="319"/>
      <c r="AS331" s="319"/>
      <c r="AT331" s="319"/>
      <c r="AU331" s="319"/>
      <c r="AV331" s="319"/>
      <c r="AW331" s="319"/>
      <c r="AX331" s="319"/>
      <c r="AY331" s="319"/>
      <c r="AZ331" s="319"/>
      <c r="BA331" s="319"/>
      <c r="BB331" s="319"/>
      <c r="BC331" s="319"/>
      <c r="BD331" s="319"/>
      <c r="BE331" s="319"/>
      <c r="BF331" s="319"/>
      <c r="BG331" s="319"/>
      <c r="BH331" s="319"/>
    </row>
    <row r="332" spans="28:60" s="256" customFormat="1">
      <c r="AB332" s="461"/>
      <c r="AC332" s="461"/>
      <c r="AD332" s="461"/>
      <c r="AE332" s="461"/>
      <c r="AF332" s="461"/>
      <c r="AG332" s="319"/>
      <c r="AH332" s="319"/>
      <c r="AI332" s="319"/>
      <c r="AJ332" s="319"/>
      <c r="AK332" s="319"/>
      <c r="AL332" s="319"/>
      <c r="AM332" s="319"/>
      <c r="AN332" s="319"/>
      <c r="AO332" s="319"/>
      <c r="AP332" s="319"/>
      <c r="AQ332" s="319"/>
      <c r="AR332" s="319"/>
      <c r="AS332" s="319"/>
      <c r="AT332" s="319"/>
      <c r="AU332" s="319"/>
      <c r="AV332" s="319"/>
      <c r="AW332" s="319"/>
      <c r="AX332" s="319"/>
      <c r="AY332" s="319"/>
      <c r="AZ332" s="319"/>
      <c r="BA332" s="319"/>
      <c r="BB332" s="319"/>
      <c r="BC332" s="319"/>
      <c r="BD332" s="319"/>
      <c r="BE332" s="319"/>
      <c r="BF332" s="319"/>
      <c r="BG332" s="319"/>
      <c r="BH332" s="319"/>
    </row>
    <row r="333" spans="28:60" s="256" customFormat="1">
      <c r="AB333" s="461"/>
      <c r="AC333" s="461"/>
      <c r="AD333" s="461"/>
      <c r="AE333" s="461"/>
      <c r="AF333" s="461"/>
      <c r="AG333" s="319"/>
      <c r="AH333" s="319"/>
      <c r="AI333" s="319"/>
      <c r="AJ333" s="319"/>
      <c r="AK333" s="319"/>
      <c r="AL333" s="319"/>
      <c r="AM333" s="319"/>
      <c r="AN333" s="319"/>
      <c r="AO333" s="319"/>
      <c r="AP333" s="319"/>
      <c r="AQ333" s="319"/>
      <c r="AR333" s="319"/>
      <c r="AS333" s="319"/>
      <c r="AT333" s="319"/>
      <c r="AU333" s="319"/>
      <c r="AV333" s="319"/>
      <c r="AW333" s="319"/>
      <c r="AX333" s="319"/>
      <c r="AY333" s="319"/>
      <c r="AZ333" s="319"/>
      <c r="BA333" s="319"/>
      <c r="BB333" s="319"/>
      <c r="BC333" s="319"/>
      <c r="BD333" s="319"/>
      <c r="BE333" s="319"/>
      <c r="BF333" s="319"/>
      <c r="BG333" s="319"/>
      <c r="BH333" s="319"/>
    </row>
    <row r="334" spans="28:60" s="256" customFormat="1">
      <c r="AB334" s="461"/>
      <c r="AC334" s="461"/>
      <c r="AD334" s="461"/>
      <c r="AE334" s="461"/>
      <c r="AF334" s="461"/>
      <c r="AG334" s="319"/>
      <c r="AH334" s="319"/>
      <c r="AI334" s="319"/>
      <c r="AJ334" s="319"/>
      <c r="AK334" s="319"/>
      <c r="AL334" s="319"/>
      <c r="AM334" s="319"/>
      <c r="AN334" s="319"/>
      <c r="AO334" s="319"/>
      <c r="AP334" s="319"/>
      <c r="AQ334" s="319"/>
      <c r="AR334" s="319"/>
      <c r="AS334" s="319"/>
      <c r="AT334" s="319"/>
      <c r="AU334" s="319"/>
      <c r="AV334" s="319"/>
      <c r="AW334" s="319"/>
      <c r="AX334" s="319"/>
      <c r="AY334" s="319"/>
      <c r="AZ334" s="319"/>
      <c r="BA334" s="319"/>
      <c r="BB334" s="319"/>
      <c r="BC334" s="319"/>
      <c r="BD334" s="319"/>
      <c r="BE334" s="319"/>
      <c r="BF334" s="319"/>
      <c r="BG334" s="319"/>
      <c r="BH334" s="319"/>
    </row>
    <row r="335" spans="28:60" s="256" customFormat="1">
      <c r="AB335" s="461"/>
      <c r="AC335" s="461"/>
      <c r="AD335" s="461"/>
      <c r="AE335" s="461"/>
      <c r="AF335" s="461"/>
      <c r="AG335" s="319"/>
      <c r="AH335" s="319"/>
      <c r="AI335" s="319"/>
      <c r="AJ335" s="319"/>
      <c r="AK335" s="319"/>
      <c r="AL335" s="319"/>
      <c r="AM335" s="319"/>
      <c r="AN335" s="319"/>
      <c r="AO335" s="319"/>
      <c r="AP335" s="319"/>
      <c r="AQ335" s="319"/>
      <c r="AR335" s="319"/>
      <c r="AS335" s="319"/>
      <c r="AT335" s="319"/>
      <c r="AU335" s="319"/>
      <c r="AV335" s="319"/>
      <c r="AW335" s="319"/>
      <c r="AX335" s="319"/>
      <c r="AY335" s="319"/>
      <c r="AZ335" s="319"/>
      <c r="BA335" s="319"/>
      <c r="BB335" s="319"/>
      <c r="BC335" s="319"/>
      <c r="BD335" s="319"/>
      <c r="BE335" s="319"/>
      <c r="BF335" s="319"/>
      <c r="BG335" s="319"/>
      <c r="BH335" s="319"/>
    </row>
    <row r="336" spans="28:60" s="256" customFormat="1">
      <c r="AB336" s="461"/>
      <c r="AC336" s="461"/>
      <c r="AD336" s="461"/>
      <c r="AE336" s="461"/>
      <c r="AF336" s="461"/>
      <c r="AG336" s="319"/>
      <c r="AH336" s="319"/>
      <c r="AI336" s="319"/>
      <c r="AJ336" s="319"/>
      <c r="AK336" s="319"/>
      <c r="AL336" s="319"/>
      <c r="AM336" s="319"/>
      <c r="AN336" s="319"/>
      <c r="AO336" s="319"/>
      <c r="AP336" s="319"/>
      <c r="AQ336" s="319"/>
      <c r="AR336" s="319"/>
      <c r="AS336" s="319"/>
      <c r="AT336" s="319"/>
      <c r="AU336" s="319"/>
      <c r="AV336" s="319"/>
      <c r="AW336" s="319"/>
      <c r="AX336" s="319"/>
      <c r="AY336" s="319"/>
      <c r="AZ336" s="319"/>
      <c r="BA336" s="319"/>
      <c r="BB336" s="319"/>
      <c r="BC336" s="319"/>
      <c r="BD336" s="319"/>
      <c r="BE336" s="319"/>
      <c r="BF336" s="319"/>
      <c r="BG336" s="319"/>
      <c r="BH336" s="319"/>
    </row>
    <row r="337" spans="28:60" s="256" customFormat="1">
      <c r="AB337" s="461"/>
      <c r="AC337" s="461"/>
      <c r="AD337" s="461"/>
      <c r="AE337" s="461"/>
      <c r="AF337" s="461"/>
      <c r="AG337" s="319"/>
      <c r="AH337" s="319"/>
      <c r="AI337" s="319"/>
      <c r="AJ337" s="319"/>
      <c r="AK337" s="319"/>
      <c r="AL337" s="319"/>
      <c r="AM337" s="319"/>
      <c r="AN337" s="319"/>
      <c r="AO337" s="319"/>
      <c r="AP337" s="319"/>
      <c r="AQ337" s="319"/>
      <c r="AR337" s="319"/>
      <c r="AS337" s="319"/>
      <c r="AT337" s="319"/>
      <c r="AU337" s="319"/>
      <c r="AV337" s="319"/>
      <c r="AW337" s="319"/>
      <c r="AX337" s="319"/>
      <c r="AY337" s="319"/>
      <c r="AZ337" s="319"/>
      <c r="BA337" s="319"/>
      <c r="BB337" s="319"/>
      <c r="BC337" s="319"/>
      <c r="BD337" s="319"/>
      <c r="BE337" s="319"/>
      <c r="BF337" s="319"/>
      <c r="BG337" s="319"/>
      <c r="BH337" s="319"/>
    </row>
    <row r="338" spans="28:60" s="256" customFormat="1">
      <c r="AB338" s="461"/>
      <c r="AC338" s="461"/>
      <c r="AD338" s="461"/>
      <c r="AE338" s="461"/>
      <c r="AF338" s="461"/>
      <c r="AG338" s="319"/>
      <c r="AH338" s="319"/>
      <c r="AI338" s="319"/>
      <c r="AJ338" s="319"/>
      <c r="AK338" s="319"/>
      <c r="AL338" s="319"/>
      <c r="AM338" s="319"/>
      <c r="AN338" s="319"/>
      <c r="AO338" s="319"/>
      <c r="AP338" s="319"/>
      <c r="AQ338" s="319"/>
      <c r="AR338" s="319"/>
      <c r="AS338" s="319"/>
      <c r="AT338" s="319"/>
      <c r="AU338" s="319"/>
      <c r="AV338" s="319"/>
      <c r="AW338" s="319"/>
      <c r="AX338" s="319"/>
      <c r="AY338" s="319"/>
      <c r="AZ338" s="319"/>
      <c r="BA338" s="319"/>
      <c r="BB338" s="319"/>
      <c r="BC338" s="319"/>
      <c r="BD338" s="319"/>
      <c r="BE338" s="319"/>
      <c r="BF338" s="319"/>
      <c r="BG338" s="319"/>
      <c r="BH338" s="319"/>
    </row>
    <row r="339" spans="28:60" s="256" customFormat="1">
      <c r="AB339" s="461"/>
      <c r="AC339" s="461"/>
      <c r="AD339" s="461"/>
      <c r="AE339" s="461"/>
      <c r="AF339" s="461"/>
      <c r="AG339" s="319"/>
      <c r="AH339" s="319"/>
      <c r="AI339" s="319"/>
      <c r="AJ339" s="319"/>
      <c r="AK339" s="319"/>
      <c r="AL339" s="319"/>
      <c r="AM339" s="319"/>
      <c r="AN339" s="319"/>
      <c r="AO339" s="319"/>
      <c r="AP339" s="319"/>
      <c r="AQ339" s="319"/>
      <c r="AR339" s="319"/>
      <c r="AS339" s="319"/>
      <c r="AT339" s="319"/>
      <c r="AU339" s="319"/>
      <c r="AV339" s="319"/>
      <c r="AW339" s="319"/>
      <c r="AX339" s="319"/>
      <c r="AY339" s="319"/>
      <c r="AZ339" s="319"/>
      <c r="BA339" s="319"/>
      <c r="BB339" s="319"/>
      <c r="BC339" s="319"/>
      <c r="BD339" s="319"/>
      <c r="BE339" s="319"/>
      <c r="BF339" s="319"/>
      <c r="BG339" s="319"/>
      <c r="BH339" s="319"/>
    </row>
    <row r="340" spans="28:60" s="256" customFormat="1">
      <c r="AB340" s="461"/>
      <c r="AC340" s="461"/>
      <c r="AD340" s="461"/>
      <c r="AE340" s="461"/>
      <c r="AF340" s="461"/>
      <c r="AG340" s="319"/>
      <c r="AH340" s="319"/>
      <c r="AI340" s="319"/>
      <c r="AJ340" s="319"/>
      <c r="AK340" s="319"/>
      <c r="AL340" s="319"/>
      <c r="AM340" s="319"/>
      <c r="AN340" s="319"/>
      <c r="AO340" s="319"/>
      <c r="AP340" s="319"/>
      <c r="AQ340" s="319"/>
      <c r="AR340" s="319"/>
      <c r="AS340" s="319"/>
      <c r="AT340" s="319"/>
      <c r="AU340" s="319"/>
      <c r="AV340" s="319"/>
      <c r="AW340" s="319"/>
      <c r="AX340" s="319"/>
      <c r="AY340" s="319"/>
      <c r="AZ340" s="319"/>
      <c r="BA340" s="319"/>
      <c r="BB340" s="319"/>
      <c r="BC340" s="319"/>
      <c r="BD340" s="319"/>
      <c r="BE340" s="319"/>
      <c r="BF340" s="319"/>
      <c r="BG340" s="319"/>
      <c r="BH340" s="319"/>
    </row>
    <row r="341" spans="28:60" s="256" customFormat="1">
      <c r="AB341" s="461"/>
      <c r="AC341" s="461"/>
      <c r="AD341" s="461"/>
      <c r="AE341" s="461"/>
      <c r="AF341" s="461"/>
      <c r="AG341" s="319"/>
      <c r="AH341" s="319"/>
      <c r="AI341" s="319"/>
      <c r="AJ341" s="319"/>
      <c r="AK341" s="319"/>
      <c r="AL341" s="319"/>
      <c r="AM341" s="319"/>
      <c r="AN341" s="319"/>
      <c r="AO341" s="319"/>
      <c r="AP341" s="319"/>
      <c r="AQ341" s="319"/>
      <c r="AR341" s="319"/>
      <c r="AS341" s="319"/>
      <c r="AT341" s="319"/>
      <c r="AU341" s="319"/>
      <c r="AV341" s="319"/>
      <c r="AW341" s="319"/>
      <c r="AX341" s="319"/>
      <c r="AY341" s="319"/>
      <c r="AZ341" s="319"/>
      <c r="BA341" s="319"/>
      <c r="BB341" s="319"/>
      <c r="BC341" s="319"/>
      <c r="BD341" s="319"/>
      <c r="BE341" s="319"/>
      <c r="BF341" s="319"/>
      <c r="BG341" s="319"/>
      <c r="BH341" s="319"/>
    </row>
    <row r="342" spans="28:60" s="256" customFormat="1">
      <c r="AB342" s="461"/>
      <c r="AC342" s="461"/>
      <c r="AD342" s="461"/>
      <c r="AE342" s="461"/>
      <c r="AF342" s="461"/>
      <c r="AG342" s="319"/>
      <c r="AH342" s="319"/>
      <c r="AI342" s="319"/>
      <c r="AJ342" s="319"/>
      <c r="AK342" s="319"/>
      <c r="AL342" s="319"/>
      <c r="AM342" s="319"/>
      <c r="AN342" s="319"/>
      <c r="AO342" s="319"/>
      <c r="AP342" s="319"/>
      <c r="AQ342" s="319"/>
      <c r="AR342" s="319"/>
      <c r="AS342" s="319"/>
      <c r="AT342" s="319"/>
      <c r="AU342" s="319"/>
      <c r="AV342" s="319"/>
      <c r="AW342" s="319"/>
      <c r="AX342" s="319"/>
      <c r="AY342" s="319"/>
      <c r="AZ342" s="319"/>
      <c r="BA342" s="319"/>
      <c r="BB342" s="319"/>
      <c r="BC342" s="319"/>
      <c r="BD342" s="319"/>
      <c r="BE342" s="319"/>
      <c r="BF342" s="319"/>
      <c r="BG342" s="319"/>
      <c r="BH342" s="319"/>
    </row>
    <row r="343" spans="28:60" s="256" customFormat="1">
      <c r="AB343" s="461"/>
      <c r="AC343" s="461"/>
      <c r="AD343" s="461"/>
      <c r="AE343" s="461"/>
      <c r="AF343" s="461"/>
      <c r="AG343" s="319"/>
      <c r="AH343" s="319"/>
      <c r="AI343" s="319"/>
      <c r="AJ343" s="319"/>
      <c r="AK343" s="319"/>
      <c r="AL343" s="319"/>
      <c r="AM343" s="319"/>
      <c r="AN343" s="319"/>
      <c r="AO343" s="319"/>
      <c r="AP343" s="319"/>
      <c r="AQ343" s="319"/>
      <c r="AR343" s="319"/>
      <c r="AS343" s="319"/>
      <c r="AT343" s="319"/>
      <c r="AU343" s="319"/>
      <c r="AV343" s="319"/>
      <c r="AW343" s="319"/>
      <c r="AX343" s="319"/>
      <c r="AY343" s="319"/>
      <c r="AZ343" s="319"/>
      <c r="BA343" s="319"/>
      <c r="BB343" s="319"/>
      <c r="BC343" s="319"/>
      <c r="BD343" s="319"/>
      <c r="BE343" s="319"/>
      <c r="BF343" s="319"/>
      <c r="BG343" s="319"/>
      <c r="BH343" s="319"/>
    </row>
    <row r="344" spans="28:60" s="256" customFormat="1">
      <c r="AB344" s="461"/>
      <c r="AC344" s="461"/>
      <c r="AD344" s="461"/>
      <c r="AE344" s="461"/>
      <c r="AF344" s="461"/>
      <c r="AG344" s="319"/>
      <c r="AH344" s="319"/>
      <c r="AI344" s="319"/>
      <c r="AJ344" s="319"/>
      <c r="AK344" s="319"/>
      <c r="AL344" s="319"/>
      <c r="AM344" s="319"/>
      <c r="AN344" s="319"/>
      <c r="AO344" s="319"/>
      <c r="AP344" s="319"/>
      <c r="AQ344" s="319"/>
      <c r="AR344" s="319"/>
      <c r="AS344" s="319"/>
      <c r="AT344" s="319"/>
      <c r="AU344" s="319"/>
      <c r="AV344" s="319"/>
      <c r="AW344" s="319"/>
      <c r="AX344" s="319"/>
      <c r="AY344" s="319"/>
      <c r="AZ344" s="319"/>
      <c r="BA344" s="319"/>
      <c r="BB344" s="319"/>
      <c r="BC344" s="319"/>
      <c r="BD344" s="319"/>
      <c r="BE344" s="319"/>
      <c r="BF344" s="319"/>
      <c r="BG344" s="319"/>
      <c r="BH344" s="319"/>
    </row>
    <row r="345" spans="28:60" s="256" customFormat="1">
      <c r="AB345" s="461"/>
      <c r="AC345" s="461"/>
      <c r="AD345" s="461"/>
      <c r="AE345" s="461"/>
      <c r="AF345" s="461"/>
      <c r="AG345" s="319"/>
      <c r="AH345" s="319"/>
      <c r="AI345" s="319"/>
      <c r="AJ345" s="319"/>
      <c r="AK345" s="319"/>
      <c r="AL345" s="319"/>
      <c r="AM345" s="319"/>
      <c r="AN345" s="319"/>
      <c r="AO345" s="319"/>
      <c r="AP345" s="319"/>
      <c r="AQ345" s="319"/>
      <c r="AR345" s="319"/>
      <c r="AS345" s="319"/>
      <c r="AT345" s="319"/>
      <c r="AU345" s="319"/>
      <c r="AV345" s="319"/>
      <c r="AW345" s="319"/>
      <c r="AX345" s="319"/>
      <c r="AY345" s="319"/>
      <c r="AZ345" s="319"/>
      <c r="BA345" s="319"/>
      <c r="BB345" s="319"/>
      <c r="BC345" s="319"/>
      <c r="BD345" s="319"/>
      <c r="BE345" s="319"/>
      <c r="BF345" s="319"/>
      <c r="BG345" s="319"/>
      <c r="BH345" s="319"/>
    </row>
    <row r="346" spans="28:60" s="256" customFormat="1">
      <c r="AB346" s="461"/>
      <c r="AC346" s="461"/>
      <c r="AD346" s="461"/>
      <c r="AE346" s="461"/>
      <c r="AF346" s="461"/>
      <c r="AG346" s="319"/>
      <c r="AH346" s="319"/>
      <c r="AI346" s="319"/>
      <c r="AJ346" s="319"/>
      <c r="AK346" s="319"/>
      <c r="AL346" s="319"/>
      <c r="AM346" s="319"/>
      <c r="AN346" s="319"/>
      <c r="AO346" s="319"/>
      <c r="AP346" s="319"/>
      <c r="AQ346" s="319"/>
      <c r="AR346" s="319"/>
      <c r="AS346" s="319"/>
      <c r="AT346" s="319"/>
      <c r="AU346" s="319"/>
      <c r="AV346" s="319"/>
      <c r="AW346" s="319"/>
      <c r="AX346" s="319"/>
      <c r="AY346" s="319"/>
      <c r="AZ346" s="319"/>
      <c r="BA346" s="319"/>
      <c r="BB346" s="319"/>
      <c r="BC346" s="319"/>
      <c r="BD346" s="319"/>
      <c r="BE346" s="319"/>
      <c r="BF346" s="319"/>
      <c r="BG346" s="319"/>
      <c r="BH346" s="319"/>
    </row>
    <row r="347" spans="28:60" s="256" customFormat="1">
      <c r="AB347" s="461"/>
      <c r="AC347" s="461"/>
      <c r="AD347" s="461"/>
      <c r="AE347" s="461"/>
      <c r="AF347" s="461"/>
      <c r="AG347" s="319"/>
      <c r="AH347" s="319"/>
      <c r="AI347" s="319"/>
      <c r="AJ347" s="319"/>
      <c r="AK347" s="319"/>
      <c r="AL347" s="319"/>
      <c r="AM347" s="319"/>
      <c r="AN347" s="319"/>
      <c r="AO347" s="319"/>
      <c r="AP347" s="319"/>
      <c r="AQ347" s="319"/>
      <c r="AR347" s="319"/>
      <c r="AS347" s="319"/>
      <c r="AT347" s="319"/>
      <c r="AU347" s="319"/>
      <c r="AV347" s="319"/>
      <c r="AW347" s="319"/>
      <c r="AX347" s="319"/>
      <c r="AY347" s="319"/>
      <c r="AZ347" s="319"/>
      <c r="BA347" s="319"/>
      <c r="BB347" s="319"/>
      <c r="BC347" s="319"/>
      <c r="BD347" s="319"/>
      <c r="BE347" s="319"/>
      <c r="BF347" s="319"/>
      <c r="BG347" s="319"/>
      <c r="BH347" s="319"/>
    </row>
    <row r="348" spans="28:60" s="256" customFormat="1">
      <c r="AB348" s="461"/>
      <c r="AC348" s="461"/>
      <c r="AD348" s="461"/>
      <c r="AE348" s="461"/>
      <c r="AF348" s="461"/>
      <c r="AG348" s="319"/>
      <c r="AH348" s="319"/>
      <c r="AI348" s="319"/>
      <c r="AJ348" s="319"/>
      <c r="AK348" s="319"/>
      <c r="AL348" s="319"/>
      <c r="AM348" s="319"/>
      <c r="AN348" s="319"/>
      <c r="AO348" s="319"/>
      <c r="AP348" s="319"/>
      <c r="AQ348" s="319"/>
      <c r="AR348" s="319"/>
      <c r="AS348" s="319"/>
      <c r="AT348" s="319"/>
      <c r="AU348" s="319"/>
      <c r="AV348" s="319"/>
      <c r="AW348" s="319"/>
      <c r="AX348" s="319"/>
      <c r="AY348" s="319"/>
      <c r="AZ348" s="319"/>
      <c r="BA348" s="319"/>
      <c r="BB348" s="319"/>
      <c r="BC348" s="319"/>
      <c r="BD348" s="319"/>
      <c r="BE348" s="319"/>
      <c r="BF348" s="319"/>
      <c r="BG348" s="319"/>
      <c r="BH348" s="319"/>
    </row>
    <row r="349" spans="28:60" s="256" customFormat="1">
      <c r="AB349" s="461"/>
      <c r="AC349" s="461"/>
      <c r="AD349" s="461"/>
      <c r="AE349" s="461"/>
      <c r="AF349" s="461"/>
      <c r="AG349" s="319"/>
      <c r="AH349" s="319"/>
      <c r="AI349" s="319"/>
      <c r="AJ349" s="319"/>
      <c r="AK349" s="319"/>
      <c r="AL349" s="319"/>
      <c r="AM349" s="319"/>
      <c r="AN349" s="319"/>
      <c r="AO349" s="319"/>
      <c r="AP349" s="319"/>
      <c r="AQ349" s="319"/>
      <c r="AR349" s="319"/>
      <c r="AS349" s="319"/>
      <c r="AT349" s="319"/>
      <c r="AU349" s="319"/>
      <c r="AV349" s="319"/>
      <c r="AW349" s="319"/>
      <c r="AX349" s="319"/>
      <c r="AY349" s="319"/>
      <c r="AZ349" s="319"/>
      <c r="BA349" s="319"/>
      <c r="BB349" s="319"/>
      <c r="BC349" s="319"/>
      <c r="BD349" s="319"/>
      <c r="BE349" s="319"/>
      <c r="BF349" s="319"/>
      <c r="BG349" s="319"/>
      <c r="BH349" s="319"/>
    </row>
    <row r="350" spans="28:60" s="256" customFormat="1">
      <c r="AB350" s="461"/>
      <c r="AC350" s="461"/>
      <c r="AD350" s="461"/>
      <c r="AE350" s="461"/>
      <c r="AF350" s="461"/>
      <c r="AG350" s="319"/>
      <c r="AH350" s="319"/>
      <c r="AI350" s="319"/>
      <c r="AJ350" s="319"/>
      <c r="AK350" s="319"/>
      <c r="AL350" s="319"/>
      <c r="AM350" s="319"/>
      <c r="AN350" s="319"/>
      <c r="AO350" s="319"/>
      <c r="AP350" s="319"/>
      <c r="AQ350" s="319"/>
      <c r="AR350" s="319"/>
      <c r="AS350" s="319"/>
      <c r="AT350" s="319"/>
      <c r="AU350" s="319"/>
      <c r="AV350" s="319"/>
      <c r="AW350" s="319"/>
      <c r="AX350" s="319"/>
      <c r="AY350" s="319"/>
      <c r="AZ350" s="319"/>
      <c r="BA350" s="319"/>
      <c r="BB350" s="319"/>
      <c r="BC350" s="319"/>
      <c r="BD350" s="319"/>
      <c r="BE350" s="319"/>
      <c r="BF350" s="319"/>
      <c r="BG350" s="319"/>
      <c r="BH350" s="319"/>
    </row>
    <row r="351" spans="28:60" s="256" customFormat="1">
      <c r="AB351" s="461"/>
      <c r="AC351" s="461"/>
      <c r="AD351" s="461"/>
      <c r="AE351" s="461"/>
      <c r="AF351" s="461"/>
      <c r="AG351" s="319"/>
      <c r="AH351" s="319"/>
      <c r="AI351" s="319"/>
      <c r="AJ351" s="319"/>
      <c r="AK351" s="319"/>
      <c r="AL351" s="319"/>
      <c r="AM351" s="319"/>
      <c r="AN351" s="319"/>
      <c r="AO351" s="319"/>
      <c r="AP351" s="319"/>
      <c r="AQ351" s="319"/>
      <c r="AR351" s="319"/>
      <c r="AS351" s="319"/>
      <c r="AT351" s="319"/>
      <c r="AU351" s="319"/>
      <c r="AV351" s="319"/>
      <c r="AW351" s="319"/>
      <c r="AX351" s="319"/>
      <c r="AY351" s="319"/>
      <c r="AZ351" s="319"/>
      <c r="BA351" s="319"/>
      <c r="BB351" s="319"/>
      <c r="BC351" s="319"/>
      <c r="BD351" s="319"/>
      <c r="BE351" s="319"/>
      <c r="BF351" s="319"/>
      <c r="BG351" s="319"/>
      <c r="BH351" s="319"/>
    </row>
    <row r="352" spans="28:60" s="256" customFormat="1">
      <c r="AB352" s="461"/>
      <c r="AC352" s="461"/>
      <c r="AD352" s="461"/>
      <c r="AE352" s="461"/>
      <c r="AF352" s="461"/>
      <c r="AG352" s="319"/>
      <c r="AH352" s="319"/>
      <c r="AI352" s="319"/>
      <c r="AJ352" s="319"/>
      <c r="AK352" s="319"/>
      <c r="AL352" s="319"/>
      <c r="AM352" s="319"/>
      <c r="AN352" s="319"/>
      <c r="AO352" s="319"/>
      <c r="AP352" s="319"/>
      <c r="AQ352" s="319"/>
      <c r="AR352" s="319"/>
      <c r="AS352" s="319"/>
      <c r="AT352" s="319"/>
      <c r="AU352" s="319"/>
      <c r="AV352" s="319"/>
      <c r="AW352" s="319"/>
      <c r="AX352" s="319"/>
      <c r="AY352" s="319"/>
      <c r="AZ352" s="319"/>
      <c r="BA352" s="319"/>
      <c r="BB352" s="319"/>
      <c r="BC352" s="319"/>
      <c r="BD352" s="319"/>
      <c r="BE352" s="319"/>
      <c r="BF352" s="319"/>
      <c r="BG352" s="319"/>
      <c r="BH352" s="319"/>
    </row>
    <row r="353" spans="28:60" s="256" customFormat="1">
      <c r="AB353" s="461"/>
      <c r="AC353" s="461"/>
      <c r="AD353" s="461"/>
      <c r="AE353" s="461"/>
      <c r="AF353" s="461"/>
      <c r="AG353" s="319"/>
      <c r="AH353" s="319"/>
      <c r="AI353" s="319"/>
      <c r="AJ353" s="319"/>
      <c r="AK353" s="319"/>
      <c r="AL353" s="319"/>
      <c r="AM353" s="319"/>
      <c r="AN353" s="319"/>
      <c r="AO353" s="319"/>
      <c r="AP353" s="319"/>
      <c r="AQ353" s="319"/>
      <c r="AR353" s="319"/>
      <c r="AS353" s="319"/>
      <c r="AT353" s="319"/>
      <c r="AU353" s="319"/>
      <c r="AV353" s="319"/>
      <c r="AW353" s="319"/>
      <c r="AX353" s="319"/>
      <c r="AY353" s="319"/>
      <c r="AZ353" s="319"/>
      <c r="BA353" s="319"/>
      <c r="BB353" s="319"/>
      <c r="BC353" s="319"/>
      <c r="BD353" s="319"/>
      <c r="BE353" s="319"/>
      <c r="BF353" s="319"/>
      <c r="BG353" s="319"/>
      <c r="BH353" s="319"/>
    </row>
    <row r="354" spans="28:60" s="256" customFormat="1">
      <c r="AB354" s="461"/>
      <c r="AC354" s="461"/>
      <c r="AD354" s="461"/>
      <c r="AE354" s="461"/>
      <c r="AF354" s="461"/>
      <c r="AG354" s="319"/>
      <c r="AH354" s="319"/>
      <c r="AI354" s="319"/>
      <c r="AJ354" s="319"/>
      <c r="AK354" s="319"/>
      <c r="AL354" s="319"/>
      <c r="AM354" s="319"/>
      <c r="AN354" s="319"/>
      <c r="AO354" s="319"/>
      <c r="AP354" s="319"/>
      <c r="AQ354" s="319"/>
      <c r="AR354" s="319"/>
      <c r="AS354" s="319"/>
      <c r="AT354" s="319"/>
      <c r="AU354" s="319"/>
      <c r="AV354" s="319"/>
      <c r="AW354" s="319"/>
      <c r="AX354" s="319"/>
      <c r="AY354" s="319"/>
      <c r="AZ354" s="319"/>
      <c r="BA354" s="319"/>
      <c r="BB354" s="319"/>
      <c r="BC354" s="319"/>
      <c r="BD354" s="319"/>
      <c r="BE354" s="319"/>
      <c r="BF354" s="319"/>
      <c r="BG354" s="319"/>
      <c r="BH354" s="319"/>
    </row>
    <row r="355" spans="28:60" s="256" customFormat="1">
      <c r="AB355" s="461"/>
      <c r="AC355" s="461"/>
      <c r="AD355" s="461"/>
      <c r="AE355" s="461"/>
      <c r="AF355" s="461"/>
      <c r="AG355" s="319"/>
      <c r="AH355" s="319"/>
      <c r="AI355" s="319"/>
      <c r="AJ355" s="319"/>
      <c r="AK355" s="319"/>
      <c r="AL355" s="319"/>
      <c r="AM355" s="319"/>
      <c r="AN355" s="319"/>
      <c r="AO355" s="319"/>
      <c r="AP355" s="319"/>
      <c r="AQ355" s="319"/>
      <c r="AR355" s="319"/>
      <c r="AS355" s="319"/>
      <c r="AT355" s="319"/>
      <c r="AU355" s="319"/>
      <c r="AV355" s="319"/>
      <c r="AW355" s="319"/>
      <c r="AX355" s="319"/>
      <c r="AY355" s="319"/>
      <c r="AZ355" s="319"/>
      <c r="BA355" s="319"/>
      <c r="BB355" s="319"/>
      <c r="BC355" s="319"/>
      <c r="BD355" s="319"/>
      <c r="BE355" s="319"/>
      <c r="BF355" s="319"/>
      <c r="BG355" s="319"/>
      <c r="BH355" s="319"/>
    </row>
    <row r="356" spans="28:60" s="256" customFormat="1">
      <c r="AB356" s="461"/>
      <c r="AC356" s="461"/>
      <c r="AD356" s="461"/>
      <c r="AE356" s="461"/>
      <c r="AF356" s="461"/>
      <c r="AG356" s="319"/>
      <c r="AH356" s="319"/>
      <c r="AI356" s="319"/>
      <c r="AJ356" s="319"/>
      <c r="AK356" s="319"/>
      <c r="AL356" s="319"/>
      <c r="AM356" s="319"/>
      <c r="AN356" s="319"/>
      <c r="AO356" s="319"/>
      <c r="AP356" s="319"/>
      <c r="AQ356" s="319"/>
      <c r="AR356" s="319"/>
      <c r="AS356" s="319"/>
      <c r="AT356" s="319"/>
      <c r="AU356" s="319"/>
      <c r="AV356" s="319"/>
      <c r="AW356" s="319"/>
      <c r="AX356" s="319"/>
      <c r="AY356" s="319"/>
      <c r="AZ356" s="319"/>
      <c r="BA356" s="319"/>
      <c r="BB356" s="319"/>
      <c r="BC356" s="319"/>
      <c r="BD356" s="319"/>
      <c r="BE356" s="319"/>
      <c r="BF356" s="319"/>
      <c r="BG356" s="319"/>
      <c r="BH356" s="319"/>
    </row>
    <row r="357" spans="28:60" s="256" customFormat="1">
      <c r="AB357" s="461"/>
      <c r="AC357" s="461"/>
      <c r="AD357" s="461"/>
      <c r="AE357" s="461"/>
      <c r="AF357" s="461"/>
      <c r="AG357" s="319"/>
      <c r="AH357" s="319"/>
      <c r="AI357" s="319"/>
      <c r="AJ357" s="319"/>
      <c r="AK357" s="319"/>
      <c r="AL357" s="319"/>
      <c r="AM357" s="319"/>
      <c r="AN357" s="319"/>
      <c r="AO357" s="319"/>
      <c r="AP357" s="319"/>
      <c r="AQ357" s="319"/>
      <c r="AR357" s="319"/>
      <c r="AS357" s="319"/>
      <c r="AT357" s="319"/>
      <c r="AU357" s="319"/>
      <c r="AV357" s="319"/>
      <c r="AW357" s="319"/>
      <c r="AX357" s="319"/>
      <c r="AY357" s="319"/>
      <c r="AZ357" s="319"/>
      <c r="BA357" s="319"/>
      <c r="BB357" s="319"/>
      <c r="BC357" s="319"/>
      <c r="BD357" s="319"/>
      <c r="BE357" s="319"/>
      <c r="BF357" s="319"/>
      <c r="BG357" s="319"/>
      <c r="BH357" s="319"/>
    </row>
    <row r="358" spans="28:60" s="256" customFormat="1">
      <c r="AB358" s="461"/>
      <c r="AC358" s="461"/>
      <c r="AD358" s="461"/>
      <c r="AE358" s="461"/>
      <c r="AF358" s="461"/>
      <c r="AG358" s="319"/>
      <c r="AH358" s="319"/>
      <c r="AI358" s="319"/>
      <c r="AJ358" s="319"/>
      <c r="AK358" s="319"/>
      <c r="AL358" s="319"/>
      <c r="AM358" s="319"/>
      <c r="AN358" s="319"/>
      <c r="AO358" s="319"/>
      <c r="AP358" s="319"/>
      <c r="AQ358" s="319"/>
      <c r="AR358" s="319"/>
      <c r="AS358" s="319"/>
      <c r="AT358" s="319"/>
      <c r="AU358" s="319"/>
      <c r="AV358" s="319"/>
      <c r="AW358" s="319"/>
      <c r="AX358" s="319"/>
      <c r="AY358" s="319"/>
      <c r="AZ358" s="319"/>
      <c r="BA358" s="319"/>
      <c r="BB358" s="319"/>
      <c r="BC358" s="319"/>
      <c r="BD358" s="319"/>
      <c r="BE358" s="319"/>
      <c r="BF358" s="319"/>
      <c r="BG358" s="319"/>
      <c r="BH358" s="319"/>
    </row>
    <row r="359" spans="28:60" s="256" customFormat="1">
      <c r="AB359" s="461"/>
      <c r="AC359" s="461"/>
      <c r="AD359" s="461"/>
      <c r="AE359" s="461"/>
      <c r="AF359" s="461"/>
      <c r="AG359" s="319"/>
      <c r="AH359" s="319"/>
      <c r="AI359" s="319"/>
      <c r="AJ359" s="319"/>
      <c r="AK359" s="319"/>
      <c r="AL359" s="319"/>
      <c r="AM359" s="319"/>
      <c r="AN359" s="319"/>
      <c r="AO359" s="319"/>
      <c r="AP359" s="319"/>
      <c r="AQ359" s="319"/>
      <c r="AR359" s="319"/>
      <c r="AS359" s="319"/>
      <c r="AT359" s="319"/>
      <c r="AU359" s="319"/>
      <c r="AV359" s="319"/>
      <c r="AW359" s="319"/>
      <c r="AX359" s="319"/>
      <c r="AY359" s="319"/>
      <c r="AZ359" s="319"/>
      <c r="BA359" s="319"/>
      <c r="BB359" s="319"/>
      <c r="BC359" s="319"/>
      <c r="BD359" s="319"/>
      <c r="BE359" s="319"/>
      <c r="BF359" s="319"/>
      <c r="BG359" s="319"/>
      <c r="BH359" s="319"/>
    </row>
    <row r="360" spans="28:60" s="256" customFormat="1">
      <c r="AB360" s="461"/>
      <c r="AC360" s="461"/>
      <c r="AD360" s="461"/>
      <c r="AE360" s="461"/>
      <c r="AF360" s="461"/>
      <c r="AG360" s="319"/>
      <c r="AH360" s="319"/>
      <c r="AI360" s="319"/>
      <c r="AJ360" s="319"/>
      <c r="AK360" s="319"/>
      <c r="AL360" s="319"/>
      <c r="AM360" s="319"/>
      <c r="AN360" s="319"/>
      <c r="AO360" s="319"/>
      <c r="AP360" s="319"/>
      <c r="AQ360" s="319"/>
      <c r="AR360" s="319"/>
      <c r="AS360" s="319"/>
      <c r="AT360" s="319"/>
      <c r="AU360" s="319"/>
      <c r="AV360" s="319"/>
      <c r="AW360" s="319"/>
      <c r="AX360" s="319"/>
      <c r="AY360" s="319"/>
      <c r="AZ360" s="319"/>
      <c r="BA360" s="319"/>
      <c r="BB360" s="319"/>
      <c r="BC360" s="319"/>
      <c r="BD360" s="319"/>
      <c r="BE360" s="319"/>
      <c r="BF360" s="319"/>
      <c r="BG360" s="319"/>
      <c r="BH360" s="319"/>
    </row>
    <row r="361" spans="28:60" s="256" customFormat="1">
      <c r="AB361" s="461"/>
      <c r="AC361" s="461"/>
      <c r="AD361" s="461"/>
      <c r="AE361" s="461"/>
      <c r="AF361" s="461"/>
      <c r="AG361" s="319"/>
      <c r="AH361" s="319"/>
      <c r="AI361" s="319"/>
      <c r="AJ361" s="319"/>
      <c r="AK361" s="319"/>
      <c r="AL361" s="319"/>
      <c r="AM361" s="319"/>
      <c r="AN361" s="319"/>
      <c r="AO361" s="319"/>
      <c r="AP361" s="319"/>
      <c r="AQ361" s="319"/>
      <c r="AR361" s="319"/>
      <c r="AS361" s="319"/>
      <c r="AT361" s="319"/>
      <c r="AU361" s="319"/>
      <c r="AV361" s="319"/>
      <c r="AW361" s="319"/>
      <c r="AX361" s="319"/>
      <c r="AY361" s="319"/>
      <c r="AZ361" s="319"/>
      <c r="BA361" s="319"/>
      <c r="BB361" s="319"/>
      <c r="BC361" s="319"/>
      <c r="BD361" s="319"/>
      <c r="BE361" s="319"/>
      <c r="BF361" s="319"/>
      <c r="BG361" s="319"/>
      <c r="BH361" s="319"/>
    </row>
    <row r="362" spans="28:60" s="256" customFormat="1">
      <c r="AB362" s="461"/>
      <c r="AC362" s="461"/>
      <c r="AD362" s="461"/>
      <c r="AE362" s="461"/>
      <c r="AF362" s="461"/>
      <c r="AG362" s="319"/>
      <c r="AH362" s="319"/>
      <c r="AI362" s="319"/>
      <c r="AJ362" s="319"/>
      <c r="AK362" s="319"/>
      <c r="AL362" s="319"/>
      <c r="AM362" s="319"/>
      <c r="AN362" s="319"/>
      <c r="AO362" s="319"/>
      <c r="AP362" s="319"/>
      <c r="AQ362" s="319"/>
      <c r="AR362" s="319"/>
      <c r="AS362" s="319"/>
      <c r="AT362" s="319"/>
      <c r="AU362" s="319"/>
      <c r="AV362" s="319"/>
      <c r="AW362" s="319"/>
      <c r="AX362" s="319"/>
      <c r="AY362" s="319"/>
      <c r="AZ362" s="319"/>
      <c r="BA362" s="319"/>
      <c r="BB362" s="319"/>
      <c r="BC362" s="319"/>
      <c r="BD362" s="319"/>
      <c r="BE362" s="319"/>
      <c r="BF362" s="319"/>
      <c r="BG362" s="319"/>
      <c r="BH362" s="319"/>
    </row>
    <row r="363" spans="28:60" s="256" customFormat="1">
      <c r="AB363" s="461"/>
      <c r="AC363" s="461"/>
      <c r="AD363" s="461"/>
      <c r="AE363" s="461"/>
      <c r="AF363" s="461"/>
      <c r="AG363" s="319"/>
      <c r="AH363" s="319"/>
      <c r="AI363" s="319"/>
      <c r="AJ363" s="319"/>
      <c r="AK363" s="319"/>
      <c r="AL363" s="319"/>
      <c r="AM363" s="319"/>
      <c r="AN363" s="319"/>
      <c r="AO363" s="319"/>
      <c r="AP363" s="319"/>
      <c r="AQ363" s="319"/>
      <c r="AR363" s="319"/>
      <c r="AS363" s="319"/>
      <c r="AT363" s="319"/>
      <c r="AU363" s="319"/>
      <c r="AV363" s="319"/>
      <c r="AW363" s="319"/>
      <c r="AX363" s="319"/>
      <c r="AY363" s="319"/>
      <c r="AZ363" s="319"/>
      <c r="BA363" s="319"/>
      <c r="BB363" s="319"/>
      <c r="BC363" s="319"/>
      <c r="BD363" s="319"/>
      <c r="BE363" s="319"/>
      <c r="BF363" s="319"/>
      <c r="BG363" s="319"/>
      <c r="BH363" s="319"/>
    </row>
    <row r="364" spans="28:60" s="256" customFormat="1">
      <c r="AB364" s="461"/>
      <c r="AC364" s="461"/>
      <c r="AD364" s="461"/>
      <c r="AE364" s="461"/>
      <c r="AF364" s="461"/>
      <c r="AG364" s="319"/>
      <c r="AH364" s="319"/>
      <c r="AI364" s="319"/>
      <c r="AJ364" s="319"/>
      <c r="AK364" s="319"/>
      <c r="AL364" s="319"/>
      <c r="AM364" s="319"/>
      <c r="AN364" s="319"/>
      <c r="AO364" s="319"/>
      <c r="AP364" s="319"/>
      <c r="AQ364" s="319"/>
      <c r="AR364" s="319"/>
      <c r="AS364" s="319"/>
      <c r="AT364" s="319"/>
      <c r="AU364" s="319"/>
      <c r="AV364" s="319"/>
      <c r="AW364" s="319"/>
      <c r="AX364" s="319"/>
      <c r="AY364" s="319"/>
      <c r="AZ364" s="319"/>
      <c r="BA364" s="319"/>
      <c r="BB364" s="319"/>
      <c r="BC364" s="319"/>
      <c r="BD364" s="319"/>
      <c r="BE364" s="319"/>
      <c r="BF364" s="319"/>
      <c r="BG364" s="319"/>
      <c r="BH364" s="319"/>
    </row>
    <row r="365" spans="28:60" s="256" customFormat="1">
      <c r="AB365" s="461"/>
      <c r="AC365" s="461"/>
      <c r="AD365" s="461"/>
      <c r="AE365" s="461"/>
      <c r="AF365" s="461"/>
      <c r="AG365" s="319"/>
      <c r="AH365" s="319"/>
      <c r="AI365" s="319"/>
      <c r="AJ365" s="319"/>
      <c r="AK365" s="319"/>
      <c r="AL365" s="319"/>
      <c r="AM365" s="319"/>
      <c r="AN365" s="319"/>
      <c r="AO365" s="319"/>
      <c r="AP365" s="319"/>
      <c r="AQ365" s="319"/>
      <c r="AR365" s="319"/>
      <c r="AS365" s="319"/>
      <c r="AT365" s="319"/>
      <c r="AU365" s="319"/>
      <c r="AV365" s="319"/>
      <c r="AW365" s="319"/>
      <c r="AX365" s="319"/>
      <c r="AY365" s="319"/>
      <c r="AZ365" s="319"/>
      <c r="BA365" s="319"/>
      <c r="BB365" s="319"/>
      <c r="BC365" s="319"/>
      <c r="BD365" s="319"/>
      <c r="BE365" s="319"/>
      <c r="BF365" s="319"/>
      <c r="BG365" s="319"/>
      <c r="BH365" s="319"/>
    </row>
    <row r="366" spans="28:60" s="256" customFormat="1">
      <c r="AB366" s="461"/>
      <c r="AC366" s="461"/>
      <c r="AD366" s="461"/>
      <c r="AE366" s="461"/>
      <c r="AF366" s="461"/>
      <c r="AG366" s="319"/>
      <c r="AH366" s="319"/>
      <c r="AI366" s="319"/>
      <c r="AJ366" s="319"/>
      <c r="AK366" s="319"/>
      <c r="AL366" s="319"/>
      <c r="AM366" s="319"/>
      <c r="AN366" s="319"/>
      <c r="AO366" s="319"/>
      <c r="AP366" s="319"/>
      <c r="AQ366" s="319"/>
      <c r="AR366" s="319"/>
      <c r="AS366" s="319"/>
      <c r="AT366" s="319"/>
      <c r="AU366" s="319"/>
      <c r="AV366" s="319"/>
      <c r="AW366" s="319"/>
      <c r="AX366" s="319"/>
      <c r="AY366" s="319"/>
      <c r="AZ366" s="319"/>
      <c r="BA366" s="319"/>
      <c r="BB366" s="319"/>
      <c r="BC366" s="319"/>
      <c r="BD366" s="319"/>
      <c r="BE366" s="319"/>
      <c r="BF366" s="319"/>
      <c r="BG366" s="319"/>
      <c r="BH366" s="319"/>
    </row>
    <row r="367" spans="28:60" s="256" customFormat="1">
      <c r="AB367" s="461"/>
      <c r="AC367" s="461"/>
      <c r="AD367" s="461"/>
      <c r="AE367" s="461"/>
      <c r="AF367" s="461"/>
      <c r="AG367" s="319"/>
      <c r="AH367" s="319"/>
      <c r="AI367" s="319"/>
      <c r="AJ367" s="319"/>
      <c r="AK367" s="319"/>
      <c r="AL367" s="319"/>
      <c r="AM367" s="319"/>
      <c r="AN367" s="319"/>
      <c r="AO367" s="319"/>
      <c r="AP367" s="319"/>
      <c r="AQ367" s="319"/>
      <c r="AR367" s="319"/>
      <c r="AS367" s="319"/>
      <c r="AT367" s="319"/>
      <c r="AU367" s="319"/>
      <c r="AV367" s="319"/>
      <c r="AW367" s="319"/>
      <c r="AX367" s="319"/>
      <c r="AY367" s="319"/>
      <c r="AZ367" s="319"/>
      <c r="BA367" s="319"/>
      <c r="BB367" s="319"/>
      <c r="BC367" s="319"/>
      <c r="BD367" s="319"/>
      <c r="BE367" s="319"/>
      <c r="BF367" s="319"/>
      <c r="BG367" s="319"/>
      <c r="BH367" s="319"/>
    </row>
    <row r="368" spans="28:60" s="256" customFormat="1">
      <c r="AB368" s="461"/>
      <c r="AC368" s="461"/>
      <c r="AD368" s="461"/>
      <c r="AE368" s="461"/>
      <c r="AF368" s="461"/>
      <c r="AG368" s="319"/>
      <c r="AH368" s="319"/>
      <c r="AI368" s="319"/>
      <c r="AJ368" s="319"/>
      <c r="AK368" s="319"/>
      <c r="AL368" s="319"/>
      <c r="AM368" s="319"/>
      <c r="AN368" s="319"/>
      <c r="AO368" s="319"/>
      <c r="AP368" s="319"/>
      <c r="AQ368" s="319"/>
      <c r="AR368" s="319"/>
      <c r="AS368" s="319"/>
      <c r="AT368" s="319"/>
      <c r="AU368" s="319"/>
      <c r="AV368" s="319"/>
      <c r="AW368" s="319"/>
      <c r="AX368" s="319"/>
      <c r="AY368" s="319"/>
      <c r="AZ368" s="319"/>
      <c r="BA368" s="319"/>
      <c r="BB368" s="319"/>
      <c r="BC368" s="319"/>
      <c r="BD368" s="319"/>
      <c r="BE368" s="319"/>
      <c r="BF368" s="319"/>
      <c r="BG368" s="319"/>
      <c r="BH368" s="319"/>
    </row>
    <row r="369" spans="28:60" s="256" customFormat="1">
      <c r="AB369" s="461"/>
      <c r="AC369" s="461"/>
      <c r="AD369" s="461"/>
      <c r="AE369" s="461"/>
      <c r="AF369" s="461"/>
      <c r="AG369" s="319"/>
      <c r="AH369" s="319"/>
      <c r="AI369" s="319"/>
      <c r="AJ369" s="319"/>
      <c r="AK369" s="319"/>
      <c r="AL369" s="319"/>
      <c r="AM369" s="319"/>
      <c r="AN369" s="319"/>
      <c r="AO369" s="319"/>
      <c r="AP369" s="319"/>
      <c r="AQ369" s="319"/>
      <c r="AR369" s="319"/>
      <c r="AS369" s="319"/>
      <c r="AT369" s="319"/>
      <c r="AU369" s="319"/>
      <c r="AV369" s="319"/>
      <c r="AW369" s="319"/>
      <c r="AX369" s="319"/>
      <c r="AY369" s="319"/>
      <c r="AZ369" s="319"/>
      <c r="BA369" s="319"/>
      <c r="BB369" s="319"/>
      <c r="BC369" s="319"/>
      <c r="BD369" s="319"/>
      <c r="BE369" s="319"/>
      <c r="BF369" s="319"/>
      <c r="BG369" s="319"/>
      <c r="BH369" s="319"/>
    </row>
    <row r="370" spans="28:60" s="256" customFormat="1">
      <c r="AB370" s="461"/>
      <c r="AC370" s="461"/>
      <c r="AD370" s="461"/>
      <c r="AE370" s="461"/>
      <c r="AF370" s="461"/>
      <c r="AG370" s="319"/>
      <c r="AH370" s="319"/>
      <c r="AI370" s="319"/>
      <c r="AJ370" s="319"/>
      <c r="AK370" s="319"/>
      <c r="AL370" s="319"/>
      <c r="AM370" s="319"/>
      <c r="AN370" s="319"/>
      <c r="AO370" s="319"/>
      <c r="AP370" s="319"/>
      <c r="AQ370" s="319"/>
      <c r="AR370" s="319"/>
      <c r="AS370" s="319"/>
      <c r="AT370" s="319"/>
      <c r="AU370" s="319"/>
      <c r="AV370" s="319"/>
      <c r="AW370" s="319"/>
      <c r="AX370" s="319"/>
      <c r="AY370" s="319"/>
      <c r="AZ370" s="319"/>
      <c r="BA370" s="319"/>
      <c r="BB370" s="319"/>
      <c r="BC370" s="319"/>
      <c r="BD370" s="319"/>
      <c r="BE370" s="319"/>
      <c r="BF370" s="319"/>
      <c r="BG370" s="319"/>
      <c r="BH370" s="319"/>
    </row>
    <row r="371" spans="28:60" s="256" customFormat="1">
      <c r="AB371" s="461"/>
      <c r="AC371" s="461"/>
      <c r="AD371" s="461"/>
      <c r="AE371" s="461"/>
      <c r="AF371" s="461"/>
      <c r="AG371" s="319"/>
      <c r="AH371" s="319"/>
      <c r="AI371" s="319"/>
      <c r="AJ371" s="319"/>
      <c r="AK371" s="319"/>
      <c r="AL371" s="319"/>
      <c r="AM371" s="319"/>
      <c r="AN371" s="319"/>
      <c r="AO371" s="319"/>
      <c r="AP371" s="319"/>
      <c r="AQ371" s="319"/>
      <c r="AR371" s="319"/>
      <c r="AS371" s="319"/>
      <c r="AT371" s="319"/>
      <c r="AU371" s="319"/>
      <c r="AV371" s="319"/>
      <c r="AW371" s="319"/>
      <c r="AX371" s="319"/>
      <c r="AY371" s="319"/>
      <c r="AZ371" s="319"/>
      <c r="BA371" s="319"/>
      <c r="BB371" s="319"/>
      <c r="BC371" s="319"/>
      <c r="BD371" s="319"/>
      <c r="BE371" s="319"/>
      <c r="BF371" s="319"/>
      <c r="BG371" s="319"/>
      <c r="BH371" s="319"/>
    </row>
    <row r="372" spans="28:60" s="256" customFormat="1">
      <c r="AB372" s="461"/>
      <c r="AC372" s="461"/>
      <c r="AD372" s="461"/>
      <c r="AE372" s="461"/>
      <c r="AF372" s="461"/>
      <c r="AG372" s="319"/>
      <c r="AH372" s="319"/>
      <c r="AI372" s="319"/>
      <c r="AJ372" s="319"/>
      <c r="AK372" s="319"/>
      <c r="AL372" s="319"/>
      <c r="AM372" s="319"/>
      <c r="AN372" s="319"/>
      <c r="AO372" s="319"/>
      <c r="AP372" s="319"/>
      <c r="AQ372" s="319"/>
      <c r="AR372" s="319"/>
      <c r="AS372" s="319"/>
      <c r="AT372" s="319"/>
      <c r="AU372" s="319"/>
      <c r="AV372" s="319"/>
      <c r="AW372" s="319"/>
      <c r="AX372" s="319"/>
      <c r="AY372" s="319"/>
      <c r="AZ372" s="319"/>
      <c r="BA372" s="319"/>
      <c r="BB372" s="319"/>
      <c r="BC372" s="319"/>
      <c r="BD372" s="319"/>
      <c r="BE372" s="319"/>
      <c r="BF372" s="319"/>
      <c r="BG372" s="319"/>
      <c r="BH372" s="319"/>
    </row>
    <row r="373" spans="28:60" s="256" customFormat="1">
      <c r="AB373" s="461"/>
      <c r="AC373" s="461"/>
      <c r="AD373" s="461"/>
      <c r="AE373" s="461"/>
      <c r="AF373" s="461"/>
      <c r="AG373" s="319"/>
      <c r="AH373" s="319"/>
      <c r="AI373" s="319"/>
      <c r="AJ373" s="319"/>
      <c r="AK373" s="319"/>
      <c r="AL373" s="319"/>
      <c r="AM373" s="319"/>
      <c r="AN373" s="319"/>
      <c r="AO373" s="319"/>
      <c r="AP373" s="319"/>
      <c r="AQ373" s="319"/>
      <c r="AR373" s="319"/>
      <c r="AS373" s="319"/>
      <c r="AT373" s="319"/>
      <c r="AU373" s="319"/>
      <c r="AV373" s="319"/>
      <c r="AW373" s="319"/>
      <c r="AX373" s="319"/>
      <c r="AY373" s="319"/>
      <c r="AZ373" s="319"/>
      <c r="BA373" s="319"/>
      <c r="BB373" s="319"/>
      <c r="BC373" s="319"/>
      <c r="BD373" s="319"/>
      <c r="BE373" s="319"/>
      <c r="BF373" s="319"/>
      <c r="BG373" s="319"/>
      <c r="BH373" s="319"/>
    </row>
    <row r="374" spans="28:60" s="256" customFormat="1">
      <c r="AB374" s="461"/>
      <c r="AC374" s="461"/>
      <c r="AD374" s="461"/>
      <c r="AE374" s="461"/>
      <c r="AF374" s="461"/>
      <c r="AG374" s="319"/>
      <c r="AH374" s="319"/>
      <c r="AI374" s="319"/>
      <c r="AJ374" s="319"/>
      <c r="AK374" s="319"/>
      <c r="AL374" s="319"/>
      <c r="AM374" s="319"/>
      <c r="AN374" s="319"/>
      <c r="AO374" s="319"/>
      <c r="AP374" s="319"/>
      <c r="AQ374" s="319"/>
      <c r="AR374" s="319"/>
      <c r="AS374" s="319"/>
      <c r="AT374" s="319"/>
      <c r="AU374" s="319"/>
      <c r="AV374" s="319"/>
      <c r="AW374" s="319"/>
      <c r="AX374" s="319"/>
      <c r="AY374" s="319"/>
      <c r="AZ374" s="319"/>
      <c r="BA374" s="319"/>
      <c r="BB374" s="319"/>
      <c r="BC374" s="319"/>
      <c r="BD374" s="319"/>
      <c r="BE374" s="319"/>
      <c r="BF374" s="319"/>
      <c r="BG374" s="319"/>
      <c r="BH374" s="319"/>
    </row>
    <row r="375" spans="28:60" s="256" customFormat="1">
      <c r="AB375" s="461"/>
      <c r="AC375" s="461"/>
      <c r="AD375" s="461"/>
      <c r="AE375" s="461"/>
      <c r="AF375" s="461"/>
      <c r="AG375" s="319"/>
      <c r="AH375" s="319"/>
      <c r="AI375" s="319"/>
      <c r="AJ375" s="319"/>
      <c r="AK375" s="319"/>
      <c r="AL375" s="319"/>
      <c r="AM375" s="319"/>
      <c r="AN375" s="319"/>
      <c r="AO375" s="319"/>
      <c r="AP375" s="319"/>
      <c r="AQ375" s="319"/>
      <c r="AR375" s="319"/>
      <c r="AS375" s="319"/>
      <c r="AT375" s="319"/>
      <c r="AU375" s="319"/>
      <c r="AV375" s="319"/>
      <c r="AW375" s="319"/>
      <c r="AX375" s="319"/>
      <c r="AY375" s="319"/>
      <c r="AZ375" s="319"/>
      <c r="BA375" s="319"/>
      <c r="BB375" s="319"/>
      <c r="BC375" s="319"/>
      <c r="BD375" s="319"/>
      <c r="BE375" s="319"/>
      <c r="BF375" s="319"/>
      <c r="BG375" s="319"/>
      <c r="BH375" s="319"/>
    </row>
    <row r="376" spans="28:60" s="256" customFormat="1">
      <c r="AB376" s="461"/>
      <c r="AC376" s="461"/>
      <c r="AD376" s="461"/>
      <c r="AE376" s="461"/>
      <c r="AF376" s="461"/>
      <c r="AG376" s="319"/>
      <c r="AH376" s="319"/>
      <c r="AI376" s="319"/>
      <c r="AJ376" s="319"/>
      <c r="AK376" s="319"/>
      <c r="AL376" s="319"/>
      <c r="AM376" s="319"/>
      <c r="AN376" s="319"/>
      <c r="AO376" s="319"/>
      <c r="AP376" s="319"/>
      <c r="AQ376" s="319"/>
      <c r="AR376" s="319"/>
      <c r="AS376" s="319"/>
      <c r="AT376" s="319"/>
      <c r="AU376" s="319"/>
      <c r="AV376" s="319"/>
      <c r="AW376" s="319"/>
      <c r="AX376" s="319"/>
      <c r="AY376" s="319"/>
      <c r="AZ376" s="319"/>
      <c r="BA376" s="319"/>
      <c r="BB376" s="319"/>
      <c r="BC376" s="319"/>
      <c r="BD376" s="319"/>
      <c r="BE376" s="319"/>
      <c r="BF376" s="319"/>
      <c r="BG376" s="319"/>
      <c r="BH376" s="319"/>
    </row>
    <row r="377" spans="28:60" s="256" customFormat="1">
      <c r="AB377" s="461"/>
      <c r="AC377" s="461"/>
      <c r="AD377" s="461"/>
      <c r="AE377" s="461"/>
      <c r="AF377" s="461"/>
      <c r="AG377" s="319"/>
      <c r="AH377" s="319"/>
      <c r="AI377" s="319"/>
      <c r="AJ377" s="319"/>
      <c r="AK377" s="319"/>
      <c r="AL377" s="319"/>
      <c r="AM377" s="319"/>
      <c r="AN377" s="319"/>
      <c r="AO377" s="319"/>
      <c r="AP377" s="319"/>
      <c r="AQ377" s="319"/>
      <c r="AR377" s="319"/>
      <c r="AS377" s="319"/>
      <c r="AT377" s="319"/>
      <c r="AU377" s="319"/>
      <c r="AV377" s="319"/>
      <c r="AW377" s="319"/>
      <c r="AX377" s="319"/>
      <c r="AY377" s="319"/>
      <c r="AZ377" s="319"/>
      <c r="BA377" s="319"/>
      <c r="BB377" s="319"/>
      <c r="BC377" s="319"/>
      <c r="BD377" s="319"/>
      <c r="BE377" s="319"/>
      <c r="BF377" s="319"/>
      <c r="BG377" s="319"/>
      <c r="BH377" s="319"/>
    </row>
    <row r="378" spans="28:60" s="256" customFormat="1">
      <c r="AB378" s="461"/>
      <c r="AC378" s="461"/>
      <c r="AD378" s="461"/>
      <c r="AE378" s="461"/>
      <c r="AF378" s="461"/>
      <c r="AG378" s="319"/>
      <c r="AH378" s="319"/>
      <c r="AI378" s="319"/>
      <c r="AJ378" s="319"/>
      <c r="AK378" s="319"/>
      <c r="AL378" s="319"/>
      <c r="AM378" s="319"/>
      <c r="AN378" s="319"/>
      <c r="AO378" s="319"/>
      <c r="AP378" s="319"/>
      <c r="AQ378" s="319"/>
      <c r="AR378" s="319"/>
      <c r="AS378" s="319"/>
      <c r="AT378" s="319"/>
      <c r="AU378" s="319"/>
      <c r="AV378" s="319"/>
      <c r="AW378" s="319"/>
      <c r="AX378" s="319"/>
      <c r="AY378" s="319"/>
      <c r="AZ378" s="319"/>
      <c r="BA378" s="319"/>
      <c r="BB378" s="319"/>
      <c r="BC378" s="319"/>
      <c r="BD378" s="319"/>
      <c r="BE378" s="319"/>
      <c r="BF378" s="319"/>
      <c r="BG378" s="319"/>
      <c r="BH378" s="319"/>
    </row>
    <row r="379" spans="28:60" s="256" customFormat="1">
      <c r="AB379" s="461"/>
      <c r="AC379" s="461"/>
      <c r="AD379" s="461"/>
      <c r="AE379" s="461"/>
      <c r="AF379" s="461"/>
      <c r="AG379" s="319"/>
      <c r="AH379" s="319"/>
      <c r="AI379" s="319"/>
      <c r="AJ379" s="319"/>
      <c r="AK379" s="319"/>
      <c r="AL379" s="319"/>
      <c r="AM379" s="319"/>
      <c r="AN379" s="319"/>
      <c r="AO379" s="319"/>
      <c r="AP379" s="319"/>
      <c r="AQ379" s="319"/>
      <c r="AR379" s="319"/>
      <c r="AS379" s="319"/>
      <c r="AT379" s="319"/>
      <c r="AU379" s="319"/>
      <c r="AV379" s="319"/>
      <c r="AW379" s="319"/>
      <c r="AX379" s="319"/>
      <c r="AY379" s="319"/>
      <c r="AZ379" s="319"/>
      <c r="BA379" s="319"/>
      <c r="BB379" s="319"/>
      <c r="BC379" s="319"/>
      <c r="BD379" s="319"/>
      <c r="BE379" s="319"/>
      <c r="BF379" s="319"/>
      <c r="BG379" s="319"/>
      <c r="BH379" s="319"/>
    </row>
    <row r="380" spans="28:60" s="256" customFormat="1">
      <c r="AB380" s="461"/>
      <c r="AC380" s="461"/>
      <c r="AD380" s="461"/>
      <c r="AE380" s="461"/>
      <c r="AF380" s="461"/>
      <c r="AG380" s="319"/>
      <c r="AH380" s="319"/>
      <c r="AI380" s="319"/>
      <c r="AJ380" s="319"/>
      <c r="AK380" s="319"/>
      <c r="AL380" s="319"/>
      <c r="AM380" s="319"/>
      <c r="AN380" s="319"/>
      <c r="AO380" s="319"/>
      <c r="AP380" s="319"/>
      <c r="AQ380" s="319"/>
      <c r="AR380" s="319"/>
      <c r="AS380" s="319"/>
      <c r="AT380" s="319"/>
      <c r="AU380" s="319"/>
      <c r="AV380" s="319"/>
      <c r="AW380" s="319"/>
      <c r="AX380" s="319"/>
      <c r="AY380" s="319"/>
      <c r="AZ380" s="319"/>
      <c r="BA380" s="319"/>
      <c r="BB380" s="319"/>
      <c r="BC380" s="319"/>
      <c r="BD380" s="319"/>
      <c r="BE380" s="319"/>
      <c r="BF380" s="319"/>
      <c r="BG380" s="319"/>
      <c r="BH380" s="319"/>
    </row>
    <row r="381" spans="28:60" s="256" customFormat="1">
      <c r="AB381" s="461"/>
      <c r="AC381" s="461"/>
      <c r="AD381" s="461"/>
      <c r="AE381" s="461"/>
      <c r="AF381" s="461"/>
      <c r="AG381" s="319"/>
      <c r="AH381" s="319"/>
      <c r="AI381" s="319"/>
      <c r="AJ381" s="319"/>
      <c r="AK381" s="319"/>
      <c r="AL381" s="319"/>
      <c r="AM381" s="319"/>
      <c r="AN381" s="319"/>
      <c r="AO381" s="319"/>
      <c r="AP381" s="319"/>
      <c r="AQ381" s="319"/>
      <c r="AR381" s="319"/>
      <c r="AS381" s="319"/>
      <c r="AT381" s="319"/>
      <c r="AU381" s="319"/>
      <c r="AV381" s="319"/>
      <c r="AW381" s="319"/>
      <c r="AX381" s="319"/>
      <c r="AY381" s="319"/>
      <c r="AZ381" s="319"/>
      <c r="BA381" s="319"/>
      <c r="BB381" s="319"/>
      <c r="BC381" s="319"/>
      <c r="BD381" s="319"/>
      <c r="BE381" s="319"/>
      <c r="BF381" s="319"/>
      <c r="BG381" s="319"/>
      <c r="BH381" s="319"/>
    </row>
    <row r="382" spans="28:60" s="256" customFormat="1">
      <c r="AB382" s="461"/>
      <c r="AC382" s="461"/>
      <c r="AD382" s="461"/>
      <c r="AE382" s="461"/>
      <c r="AF382" s="461"/>
      <c r="AG382" s="319"/>
      <c r="AH382" s="319"/>
      <c r="AI382" s="319"/>
      <c r="AJ382" s="319"/>
      <c r="AK382" s="319"/>
      <c r="AL382" s="319"/>
      <c r="AM382" s="319"/>
      <c r="AN382" s="319"/>
      <c r="AO382" s="319"/>
      <c r="AP382" s="319"/>
      <c r="AQ382" s="319"/>
      <c r="AR382" s="319"/>
      <c r="AS382" s="319"/>
      <c r="AT382" s="319"/>
      <c r="AU382" s="319"/>
      <c r="AV382" s="319"/>
      <c r="AW382" s="319"/>
      <c r="AX382" s="319"/>
      <c r="AY382" s="319"/>
      <c r="AZ382" s="319"/>
      <c r="BA382" s="319"/>
      <c r="BB382" s="319"/>
      <c r="BC382" s="319"/>
      <c r="BD382" s="319"/>
      <c r="BE382" s="319"/>
      <c r="BF382" s="319"/>
      <c r="BG382" s="319"/>
      <c r="BH382" s="319"/>
    </row>
    <row r="383" spans="28:60" s="256" customFormat="1">
      <c r="AB383" s="461"/>
      <c r="AC383" s="461"/>
      <c r="AD383" s="461"/>
      <c r="AE383" s="461"/>
      <c r="AF383" s="461"/>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row>
    <row r="384" spans="28:60" s="256" customFormat="1">
      <c r="AB384" s="461"/>
      <c r="AC384" s="461"/>
      <c r="AD384" s="461"/>
      <c r="AE384" s="461"/>
      <c r="AF384" s="461"/>
      <c r="AG384" s="319"/>
      <c r="AH384" s="319"/>
      <c r="AI384" s="319"/>
      <c r="AJ384" s="319"/>
      <c r="AK384" s="319"/>
      <c r="AL384" s="319"/>
      <c r="AM384" s="319"/>
      <c r="AN384" s="319"/>
      <c r="AO384" s="319"/>
      <c r="AP384" s="319"/>
      <c r="AQ384" s="319"/>
      <c r="AR384" s="319"/>
      <c r="AS384" s="319"/>
      <c r="AT384" s="319"/>
      <c r="AU384" s="319"/>
      <c r="AV384" s="319"/>
      <c r="AW384" s="319"/>
      <c r="AX384" s="319"/>
      <c r="AY384" s="319"/>
      <c r="AZ384" s="319"/>
      <c r="BA384" s="319"/>
      <c r="BB384" s="319"/>
      <c r="BC384" s="319"/>
      <c r="BD384" s="319"/>
      <c r="BE384" s="319"/>
      <c r="BF384" s="319"/>
      <c r="BG384" s="319"/>
      <c r="BH384" s="319"/>
    </row>
    <row r="385" spans="28:60" s="256" customFormat="1">
      <c r="AB385" s="461"/>
      <c r="AC385" s="461"/>
      <c r="AD385" s="461"/>
      <c r="AE385" s="461"/>
      <c r="AF385" s="461"/>
      <c r="AG385" s="319"/>
      <c r="AH385" s="319"/>
      <c r="AI385" s="319"/>
      <c r="AJ385" s="319"/>
      <c r="AK385" s="319"/>
      <c r="AL385" s="319"/>
      <c r="AM385" s="319"/>
      <c r="AN385" s="319"/>
      <c r="AO385" s="319"/>
      <c r="AP385" s="319"/>
      <c r="AQ385" s="319"/>
      <c r="AR385" s="319"/>
      <c r="AS385" s="319"/>
      <c r="AT385" s="319"/>
      <c r="AU385" s="319"/>
      <c r="AV385" s="319"/>
      <c r="AW385" s="319"/>
      <c r="AX385" s="319"/>
      <c r="AY385" s="319"/>
      <c r="AZ385" s="319"/>
      <c r="BA385" s="319"/>
      <c r="BB385" s="319"/>
      <c r="BC385" s="319"/>
      <c r="BD385" s="319"/>
      <c r="BE385" s="319"/>
      <c r="BF385" s="319"/>
      <c r="BG385" s="319"/>
      <c r="BH385" s="319"/>
    </row>
    <row r="386" spans="28:60" s="256" customFormat="1">
      <c r="AB386" s="461"/>
      <c r="AC386" s="461"/>
      <c r="AD386" s="461"/>
      <c r="AE386" s="461"/>
      <c r="AF386" s="461"/>
      <c r="AG386" s="319"/>
      <c r="AH386" s="319"/>
      <c r="AI386" s="319"/>
      <c r="AJ386" s="319"/>
      <c r="AK386" s="319"/>
      <c r="AL386" s="319"/>
      <c r="AM386" s="319"/>
      <c r="AN386" s="319"/>
      <c r="AO386" s="319"/>
      <c r="AP386" s="319"/>
      <c r="AQ386" s="319"/>
      <c r="AR386" s="319"/>
      <c r="AS386" s="319"/>
      <c r="AT386" s="319"/>
      <c r="AU386" s="319"/>
      <c r="AV386" s="319"/>
      <c r="AW386" s="319"/>
      <c r="AX386" s="319"/>
      <c r="AY386" s="319"/>
      <c r="AZ386" s="319"/>
      <c r="BA386" s="319"/>
      <c r="BB386" s="319"/>
      <c r="BC386" s="319"/>
      <c r="BD386" s="319"/>
      <c r="BE386" s="319"/>
      <c r="BF386" s="319"/>
      <c r="BG386" s="319"/>
      <c r="BH386" s="319"/>
    </row>
    <row r="387" spans="28:60" s="256" customFormat="1">
      <c r="AB387" s="461"/>
      <c r="AC387" s="461"/>
      <c r="AD387" s="461"/>
      <c r="AE387" s="461"/>
      <c r="AF387" s="461"/>
      <c r="AG387" s="319"/>
      <c r="AH387" s="319"/>
      <c r="AI387" s="319"/>
      <c r="AJ387" s="319"/>
      <c r="AK387" s="319"/>
      <c r="AL387" s="319"/>
      <c r="AM387" s="319"/>
      <c r="AN387" s="319"/>
      <c r="AO387" s="319"/>
      <c r="AP387" s="319"/>
      <c r="AQ387" s="319"/>
      <c r="AR387" s="319"/>
      <c r="AS387" s="319"/>
      <c r="AT387" s="319"/>
      <c r="AU387" s="319"/>
      <c r="AV387" s="319"/>
      <c r="AW387" s="319"/>
      <c r="AX387" s="319"/>
      <c r="AY387" s="319"/>
      <c r="AZ387" s="319"/>
      <c r="BA387" s="319"/>
      <c r="BB387" s="319"/>
      <c r="BC387" s="319"/>
      <c r="BD387" s="319"/>
      <c r="BE387" s="319"/>
      <c r="BF387" s="319"/>
      <c r="BG387" s="319"/>
      <c r="BH387" s="319"/>
    </row>
    <row r="388" spans="28:60" s="256" customFormat="1">
      <c r="AB388" s="461"/>
      <c r="AC388" s="461"/>
      <c r="AD388" s="461"/>
      <c r="AE388" s="461"/>
      <c r="AF388" s="461"/>
      <c r="AG388" s="319"/>
      <c r="AH388" s="319"/>
      <c r="AI388" s="319"/>
      <c r="AJ388" s="319"/>
      <c r="AK388" s="319"/>
      <c r="AL388" s="319"/>
      <c r="AM388" s="319"/>
      <c r="AN388" s="319"/>
      <c r="AO388" s="319"/>
      <c r="AP388" s="319"/>
      <c r="AQ388" s="319"/>
      <c r="AR388" s="319"/>
      <c r="AS388" s="319"/>
      <c r="AT388" s="319"/>
      <c r="AU388" s="319"/>
      <c r="AV388" s="319"/>
      <c r="AW388" s="319"/>
      <c r="AX388" s="319"/>
      <c r="AY388" s="319"/>
      <c r="AZ388" s="319"/>
      <c r="BA388" s="319"/>
      <c r="BB388" s="319"/>
      <c r="BC388" s="319"/>
      <c r="BD388" s="319"/>
      <c r="BE388" s="319"/>
      <c r="BF388" s="319"/>
      <c r="BG388" s="319"/>
      <c r="BH388" s="319"/>
    </row>
    <row r="389" spans="28:60" s="256" customFormat="1">
      <c r="AB389" s="461"/>
      <c r="AC389" s="461"/>
      <c r="AD389" s="461"/>
      <c r="AE389" s="461"/>
      <c r="AF389" s="461"/>
      <c r="AG389" s="319"/>
      <c r="AH389" s="319"/>
      <c r="AI389" s="319"/>
      <c r="AJ389" s="319"/>
      <c r="AK389" s="319"/>
      <c r="AL389" s="319"/>
      <c r="AM389" s="319"/>
      <c r="AN389" s="319"/>
      <c r="AO389" s="319"/>
      <c r="AP389" s="319"/>
      <c r="AQ389" s="319"/>
      <c r="AR389" s="319"/>
      <c r="AS389" s="319"/>
      <c r="AT389" s="319"/>
      <c r="AU389" s="319"/>
      <c r="AV389" s="319"/>
      <c r="AW389" s="319"/>
      <c r="AX389" s="319"/>
      <c r="AY389" s="319"/>
      <c r="AZ389" s="319"/>
      <c r="BA389" s="319"/>
      <c r="BB389" s="319"/>
      <c r="BC389" s="319"/>
      <c r="BD389" s="319"/>
      <c r="BE389" s="319"/>
      <c r="BF389" s="319"/>
      <c r="BG389" s="319"/>
      <c r="BH389" s="319"/>
    </row>
    <row r="390" spans="28:60" s="256" customFormat="1">
      <c r="AB390" s="461"/>
      <c r="AC390" s="461"/>
      <c r="AD390" s="461"/>
      <c r="AE390" s="461"/>
      <c r="AF390" s="461"/>
      <c r="AG390" s="319"/>
      <c r="AH390" s="319"/>
      <c r="AI390" s="319"/>
      <c r="AJ390" s="319"/>
      <c r="AK390" s="319"/>
      <c r="AL390" s="319"/>
      <c r="AM390" s="319"/>
      <c r="AN390" s="319"/>
      <c r="AO390" s="319"/>
      <c r="AP390" s="319"/>
      <c r="AQ390" s="319"/>
      <c r="AR390" s="319"/>
      <c r="AS390" s="319"/>
      <c r="AT390" s="319"/>
      <c r="AU390" s="319"/>
      <c r="AV390" s="319"/>
      <c r="AW390" s="319"/>
      <c r="AX390" s="319"/>
      <c r="AY390" s="319"/>
      <c r="AZ390" s="319"/>
      <c r="BA390" s="319"/>
      <c r="BB390" s="319"/>
      <c r="BC390" s="319"/>
      <c r="BD390" s="319"/>
      <c r="BE390" s="319"/>
      <c r="BF390" s="319"/>
      <c r="BG390" s="319"/>
      <c r="BH390" s="319"/>
    </row>
    <row r="391" spans="28:60" s="256" customFormat="1">
      <c r="AB391" s="461"/>
      <c r="AC391" s="461"/>
      <c r="AD391" s="461"/>
      <c r="AE391" s="461"/>
      <c r="AF391" s="461"/>
      <c r="AG391" s="319"/>
      <c r="AH391" s="319"/>
      <c r="AI391" s="319"/>
      <c r="AJ391" s="319"/>
      <c r="AK391" s="319"/>
      <c r="AL391" s="319"/>
      <c r="AM391" s="319"/>
      <c r="AN391" s="319"/>
      <c r="AO391" s="319"/>
      <c r="AP391" s="319"/>
      <c r="AQ391" s="319"/>
      <c r="AR391" s="319"/>
      <c r="AS391" s="319"/>
      <c r="AT391" s="319"/>
      <c r="AU391" s="319"/>
      <c r="AV391" s="319"/>
      <c r="AW391" s="319"/>
      <c r="AX391" s="319"/>
      <c r="AY391" s="319"/>
      <c r="AZ391" s="319"/>
      <c r="BA391" s="319"/>
      <c r="BB391" s="319"/>
      <c r="BC391" s="319"/>
      <c r="BD391" s="319"/>
      <c r="BE391" s="319"/>
      <c r="BF391" s="319"/>
      <c r="BG391" s="319"/>
      <c r="BH391" s="319"/>
    </row>
    <row r="392" spans="28:60" s="256" customFormat="1">
      <c r="AB392" s="461"/>
      <c r="AC392" s="461"/>
      <c r="AD392" s="461"/>
      <c r="AE392" s="461"/>
      <c r="AF392" s="461"/>
      <c r="AG392" s="319"/>
      <c r="AH392" s="319"/>
      <c r="AI392" s="319"/>
      <c r="AJ392" s="319"/>
      <c r="AK392" s="319"/>
      <c r="AL392" s="319"/>
      <c r="AM392" s="319"/>
      <c r="AN392" s="319"/>
      <c r="AO392" s="319"/>
      <c r="AP392" s="319"/>
      <c r="AQ392" s="319"/>
      <c r="AR392" s="319"/>
      <c r="AS392" s="319"/>
      <c r="AT392" s="319"/>
      <c r="AU392" s="319"/>
      <c r="AV392" s="319"/>
      <c r="AW392" s="319"/>
      <c r="AX392" s="319"/>
      <c r="AY392" s="319"/>
      <c r="AZ392" s="319"/>
      <c r="BA392" s="319"/>
      <c r="BB392" s="319"/>
      <c r="BC392" s="319"/>
      <c r="BD392" s="319"/>
      <c r="BE392" s="319"/>
      <c r="BF392" s="319"/>
      <c r="BG392" s="319"/>
      <c r="BH392" s="319"/>
    </row>
    <row r="393" spans="28:60" s="256" customFormat="1">
      <c r="AB393" s="461"/>
      <c r="AC393" s="461"/>
      <c r="AD393" s="461"/>
      <c r="AE393" s="461"/>
      <c r="AF393" s="461"/>
      <c r="AG393" s="319"/>
      <c r="AH393" s="319"/>
      <c r="AI393" s="319"/>
      <c r="AJ393" s="319"/>
      <c r="AK393" s="319"/>
      <c r="AL393" s="319"/>
      <c r="AM393" s="319"/>
      <c r="AN393" s="319"/>
      <c r="AO393" s="319"/>
      <c r="AP393" s="319"/>
      <c r="AQ393" s="319"/>
      <c r="AR393" s="319"/>
      <c r="AS393" s="319"/>
      <c r="AT393" s="319"/>
      <c r="AU393" s="319"/>
      <c r="AV393" s="319"/>
      <c r="AW393" s="319"/>
      <c r="AX393" s="319"/>
      <c r="AY393" s="319"/>
      <c r="AZ393" s="319"/>
      <c r="BA393" s="319"/>
      <c r="BB393" s="319"/>
      <c r="BC393" s="319"/>
      <c r="BD393" s="319"/>
      <c r="BE393" s="319"/>
      <c r="BF393" s="319"/>
      <c r="BG393" s="319"/>
      <c r="BH393" s="319"/>
    </row>
    <row r="394" spans="28:60" s="256" customFormat="1">
      <c r="AB394" s="461"/>
      <c r="AC394" s="461"/>
      <c r="AD394" s="461"/>
      <c r="AE394" s="461"/>
      <c r="AF394" s="461"/>
      <c r="AG394" s="319"/>
      <c r="AH394" s="319"/>
      <c r="AI394" s="319"/>
      <c r="AJ394" s="319"/>
      <c r="AK394" s="319"/>
      <c r="AL394" s="319"/>
      <c r="AM394" s="319"/>
      <c r="AN394" s="319"/>
      <c r="AO394" s="319"/>
      <c r="AP394" s="319"/>
      <c r="AQ394" s="319"/>
      <c r="AR394" s="319"/>
      <c r="AS394" s="319"/>
      <c r="AT394" s="319"/>
      <c r="AU394" s="319"/>
      <c r="AV394" s="319"/>
      <c r="AW394" s="319"/>
      <c r="AX394" s="319"/>
      <c r="AY394" s="319"/>
      <c r="AZ394" s="319"/>
      <c r="BA394" s="319"/>
      <c r="BB394" s="319"/>
      <c r="BC394" s="319"/>
      <c r="BD394" s="319"/>
      <c r="BE394" s="319"/>
      <c r="BF394" s="319"/>
      <c r="BG394" s="319"/>
      <c r="BH394" s="319"/>
    </row>
    <row r="395" spans="28:60" s="256" customFormat="1">
      <c r="AB395" s="461"/>
      <c r="AC395" s="461"/>
      <c r="AD395" s="461"/>
      <c r="AE395" s="461"/>
      <c r="AF395" s="461"/>
      <c r="AG395" s="319"/>
      <c r="AH395" s="319"/>
      <c r="AI395" s="319"/>
      <c r="AJ395" s="319"/>
      <c r="AK395" s="319"/>
      <c r="AL395" s="319"/>
      <c r="AM395" s="319"/>
      <c r="AN395" s="319"/>
      <c r="AO395" s="319"/>
      <c r="AP395" s="319"/>
      <c r="AQ395" s="319"/>
      <c r="AR395" s="319"/>
      <c r="AS395" s="319"/>
      <c r="AT395" s="319"/>
      <c r="AU395" s="319"/>
      <c r="AV395" s="319"/>
      <c r="AW395" s="319"/>
      <c r="AX395" s="319"/>
      <c r="AY395" s="319"/>
      <c r="AZ395" s="319"/>
      <c r="BA395" s="319"/>
      <c r="BB395" s="319"/>
      <c r="BC395" s="319"/>
      <c r="BD395" s="319"/>
      <c r="BE395" s="319"/>
      <c r="BF395" s="319"/>
      <c r="BG395" s="319"/>
      <c r="BH395" s="319"/>
    </row>
    <row r="396" spans="28:60" s="256" customFormat="1">
      <c r="AB396" s="461"/>
      <c r="AC396" s="461"/>
      <c r="AD396" s="461"/>
      <c r="AE396" s="461"/>
      <c r="AF396" s="461"/>
      <c r="AG396" s="319"/>
      <c r="AH396" s="319"/>
      <c r="AI396" s="319"/>
      <c r="AJ396" s="319"/>
      <c r="AK396" s="319"/>
      <c r="AL396" s="319"/>
      <c r="AM396" s="319"/>
      <c r="AN396" s="319"/>
      <c r="AO396" s="319"/>
      <c r="AP396" s="319"/>
      <c r="AQ396" s="319"/>
      <c r="AR396" s="319"/>
      <c r="AS396" s="319"/>
      <c r="AT396" s="319"/>
      <c r="AU396" s="319"/>
      <c r="AV396" s="319"/>
      <c r="AW396" s="319"/>
      <c r="AX396" s="319"/>
      <c r="AY396" s="319"/>
      <c r="AZ396" s="319"/>
      <c r="BA396" s="319"/>
      <c r="BB396" s="319"/>
      <c r="BC396" s="319"/>
      <c r="BD396" s="319"/>
      <c r="BE396" s="319"/>
      <c r="BF396" s="319"/>
      <c r="BG396" s="319"/>
      <c r="BH396" s="319"/>
    </row>
    <row r="397" spans="28:60" s="256" customFormat="1">
      <c r="AB397" s="461"/>
      <c r="AC397" s="461"/>
      <c r="AD397" s="461"/>
      <c r="AE397" s="461"/>
      <c r="AF397" s="461"/>
      <c r="AG397" s="319"/>
      <c r="AH397" s="319"/>
      <c r="AI397" s="319"/>
      <c r="AJ397" s="319"/>
      <c r="AK397" s="319"/>
      <c r="AL397" s="319"/>
      <c r="AM397" s="319"/>
      <c r="AN397" s="319"/>
      <c r="AO397" s="319"/>
      <c r="AP397" s="319"/>
      <c r="AQ397" s="319"/>
      <c r="AR397" s="319"/>
      <c r="AS397" s="319"/>
      <c r="AT397" s="319"/>
      <c r="AU397" s="319"/>
      <c r="AV397" s="319"/>
      <c r="AW397" s="319"/>
      <c r="AX397" s="319"/>
      <c r="AY397" s="319"/>
      <c r="AZ397" s="319"/>
      <c r="BA397" s="319"/>
      <c r="BB397" s="319"/>
      <c r="BC397" s="319"/>
      <c r="BD397" s="319"/>
      <c r="BE397" s="319"/>
      <c r="BF397" s="319"/>
      <c r="BG397" s="319"/>
      <c r="BH397" s="319"/>
    </row>
    <row r="398" spans="28:60" s="256" customFormat="1">
      <c r="AB398" s="461"/>
      <c r="AC398" s="461"/>
      <c r="AD398" s="461"/>
      <c r="AE398" s="461"/>
      <c r="AF398" s="461"/>
      <c r="AG398" s="319"/>
      <c r="AH398" s="319"/>
      <c r="AI398" s="319"/>
      <c r="AJ398" s="319"/>
      <c r="AK398" s="319"/>
      <c r="AL398" s="319"/>
      <c r="AM398" s="319"/>
      <c r="AN398" s="319"/>
      <c r="AO398" s="319"/>
      <c r="AP398" s="319"/>
      <c r="AQ398" s="319"/>
      <c r="AR398" s="319"/>
      <c r="AS398" s="319"/>
      <c r="AT398" s="319"/>
      <c r="AU398" s="319"/>
      <c r="AV398" s="319"/>
      <c r="AW398" s="319"/>
      <c r="AX398" s="319"/>
      <c r="AY398" s="319"/>
      <c r="AZ398" s="319"/>
      <c r="BA398" s="319"/>
      <c r="BB398" s="319"/>
      <c r="BC398" s="319"/>
      <c r="BD398" s="319"/>
      <c r="BE398" s="319"/>
      <c r="BF398" s="319"/>
      <c r="BG398" s="319"/>
      <c r="BH398" s="319"/>
    </row>
    <row r="399" spans="28:60" s="256" customFormat="1">
      <c r="AB399" s="461"/>
      <c r="AC399" s="461"/>
      <c r="AD399" s="461"/>
      <c r="AE399" s="461"/>
      <c r="AF399" s="461"/>
      <c r="AG399" s="319"/>
      <c r="AH399" s="319"/>
      <c r="AI399" s="319"/>
      <c r="AJ399" s="319"/>
      <c r="AK399" s="319"/>
      <c r="AL399" s="319"/>
      <c r="AM399" s="319"/>
      <c r="AN399" s="319"/>
      <c r="AO399" s="319"/>
      <c r="AP399" s="319"/>
      <c r="AQ399" s="319"/>
      <c r="AR399" s="319"/>
      <c r="AS399" s="319"/>
      <c r="AT399" s="319"/>
      <c r="AU399" s="319"/>
      <c r="AV399" s="319"/>
      <c r="AW399" s="319"/>
      <c r="AX399" s="319"/>
      <c r="AY399" s="319"/>
      <c r="AZ399" s="319"/>
      <c r="BA399" s="319"/>
      <c r="BB399" s="319"/>
      <c r="BC399" s="319"/>
      <c r="BD399" s="319"/>
      <c r="BE399" s="319"/>
      <c r="BF399" s="319"/>
      <c r="BG399" s="319"/>
      <c r="BH399" s="319"/>
    </row>
    <row r="400" spans="28:60" s="256" customFormat="1">
      <c r="AB400" s="461"/>
      <c r="AC400" s="461"/>
      <c r="AD400" s="461"/>
      <c r="AE400" s="461"/>
      <c r="AF400" s="461"/>
      <c r="AG400" s="319"/>
      <c r="AH400" s="319"/>
      <c r="AI400" s="319"/>
      <c r="AJ400" s="319"/>
      <c r="AK400" s="319"/>
      <c r="AL400" s="319"/>
      <c r="AM400" s="319"/>
      <c r="AN400" s="319"/>
      <c r="AO400" s="319"/>
      <c r="AP400" s="319"/>
      <c r="AQ400" s="319"/>
      <c r="AR400" s="319"/>
      <c r="AS400" s="319"/>
      <c r="AT400" s="319"/>
      <c r="AU400" s="319"/>
      <c r="AV400" s="319"/>
      <c r="AW400" s="319"/>
      <c r="AX400" s="319"/>
      <c r="AY400" s="319"/>
      <c r="AZ400" s="319"/>
      <c r="BA400" s="319"/>
      <c r="BB400" s="319"/>
      <c r="BC400" s="319"/>
      <c r="BD400" s="319"/>
      <c r="BE400" s="319"/>
      <c r="BF400" s="319"/>
      <c r="BG400" s="319"/>
      <c r="BH400" s="319"/>
    </row>
    <row r="401" spans="28:60" s="256" customFormat="1">
      <c r="AB401" s="461"/>
      <c r="AC401" s="461"/>
      <c r="AD401" s="461"/>
      <c r="AE401" s="461"/>
      <c r="AF401" s="461"/>
      <c r="AG401" s="319"/>
      <c r="AH401" s="319"/>
      <c r="AI401" s="319"/>
      <c r="AJ401" s="319"/>
      <c r="AK401" s="319"/>
      <c r="AL401" s="319"/>
      <c r="AM401" s="319"/>
      <c r="AN401" s="319"/>
      <c r="AO401" s="319"/>
      <c r="AP401" s="319"/>
      <c r="AQ401" s="319"/>
      <c r="AR401" s="319"/>
      <c r="AS401" s="319"/>
      <c r="AT401" s="319"/>
      <c r="AU401" s="319"/>
      <c r="AV401" s="319"/>
      <c r="AW401" s="319"/>
      <c r="AX401" s="319"/>
      <c r="AY401" s="319"/>
      <c r="AZ401" s="319"/>
      <c r="BA401" s="319"/>
      <c r="BB401" s="319"/>
      <c r="BC401" s="319"/>
      <c r="BD401" s="319"/>
      <c r="BE401" s="319"/>
      <c r="BF401" s="319"/>
      <c r="BG401" s="319"/>
      <c r="BH401" s="319"/>
    </row>
    <row r="402" spans="28:60" s="256" customFormat="1">
      <c r="AB402" s="461"/>
      <c r="AC402" s="461"/>
      <c r="AD402" s="461"/>
      <c r="AE402" s="461"/>
      <c r="AF402" s="461"/>
      <c r="AG402" s="319"/>
      <c r="AH402" s="319"/>
      <c r="AI402" s="319"/>
      <c r="AJ402" s="319"/>
      <c r="AK402" s="319"/>
      <c r="AL402" s="319"/>
      <c r="AM402" s="319"/>
      <c r="AN402" s="319"/>
      <c r="AO402" s="319"/>
      <c r="AP402" s="319"/>
      <c r="AQ402" s="319"/>
      <c r="AR402" s="319"/>
      <c r="AS402" s="319"/>
      <c r="AT402" s="319"/>
      <c r="AU402" s="319"/>
      <c r="AV402" s="319"/>
      <c r="AW402" s="319"/>
      <c r="AX402" s="319"/>
      <c r="AY402" s="319"/>
      <c r="AZ402" s="319"/>
      <c r="BA402" s="319"/>
      <c r="BB402" s="319"/>
      <c r="BC402" s="319"/>
      <c r="BD402" s="319"/>
      <c r="BE402" s="319"/>
      <c r="BF402" s="319"/>
      <c r="BG402" s="319"/>
      <c r="BH402" s="319"/>
    </row>
    <row r="403" spans="28:60" s="256" customFormat="1">
      <c r="AB403" s="461"/>
      <c r="AC403" s="461"/>
      <c r="AD403" s="461"/>
      <c r="AE403" s="461"/>
      <c r="AF403" s="461"/>
      <c r="AG403" s="319"/>
      <c r="AH403" s="319"/>
      <c r="AI403" s="319"/>
      <c r="AJ403" s="319"/>
      <c r="AK403" s="319"/>
      <c r="AL403" s="319"/>
      <c r="AM403" s="319"/>
      <c r="AN403" s="319"/>
      <c r="AO403" s="319"/>
      <c r="AP403" s="319"/>
      <c r="AQ403" s="319"/>
      <c r="AR403" s="319"/>
      <c r="AS403" s="319"/>
      <c r="AT403" s="319"/>
      <c r="AU403" s="319"/>
      <c r="AV403" s="319"/>
      <c r="AW403" s="319"/>
      <c r="AX403" s="319"/>
      <c r="AY403" s="319"/>
      <c r="AZ403" s="319"/>
      <c r="BA403" s="319"/>
      <c r="BB403" s="319"/>
      <c r="BC403" s="319"/>
      <c r="BD403" s="319"/>
      <c r="BE403" s="319"/>
      <c r="BF403" s="319"/>
      <c r="BG403" s="319"/>
      <c r="BH403" s="319"/>
    </row>
    <row r="404" spans="28:60" s="256" customFormat="1">
      <c r="AB404" s="461"/>
      <c r="AC404" s="461"/>
      <c r="AD404" s="461"/>
      <c r="AE404" s="461"/>
      <c r="AF404" s="461"/>
      <c r="AG404" s="319"/>
      <c r="AH404" s="319"/>
      <c r="AI404" s="319"/>
      <c r="AJ404" s="319"/>
      <c r="AK404" s="319"/>
      <c r="AL404" s="319"/>
      <c r="AM404" s="319"/>
      <c r="AN404" s="319"/>
      <c r="AO404" s="319"/>
      <c r="AP404" s="319"/>
      <c r="AQ404" s="319"/>
      <c r="AR404" s="319"/>
      <c r="AS404" s="319"/>
      <c r="AT404" s="319"/>
      <c r="AU404" s="319"/>
      <c r="AV404" s="319"/>
      <c r="AW404" s="319"/>
      <c r="AX404" s="319"/>
      <c r="AY404" s="319"/>
      <c r="AZ404" s="319"/>
      <c r="BA404" s="319"/>
      <c r="BB404" s="319"/>
      <c r="BC404" s="319"/>
      <c r="BD404" s="319"/>
      <c r="BE404" s="319"/>
      <c r="BF404" s="319"/>
      <c r="BG404" s="319"/>
      <c r="BH404" s="319"/>
    </row>
    <row r="405" spans="28:60" s="256" customFormat="1">
      <c r="AB405" s="461"/>
      <c r="AC405" s="461"/>
      <c r="AD405" s="461"/>
      <c r="AE405" s="461"/>
      <c r="AF405" s="461"/>
      <c r="AG405" s="319"/>
      <c r="AH405" s="319"/>
      <c r="AI405" s="319"/>
      <c r="AJ405" s="319"/>
      <c r="AK405" s="319"/>
      <c r="AL405" s="319"/>
      <c r="AM405" s="319"/>
      <c r="AN405" s="319"/>
      <c r="AO405" s="319"/>
      <c r="AP405" s="319"/>
      <c r="AQ405" s="319"/>
      <c r="AR405" s="319"/>
      <c r="AS405" s="319"/>
      <c r="AT405" s="319"/>
      <c r="AU405" s="319"/>
      <c r="AV405" s="319"/>
      <c r="AW405" s="319"/>
      <c r="AX405" s="319"/>
      <c r="AY405" s="319"/>
      <c r="AZ405" s="319"/>
      <c r="BA405" s="319"/>
      <c r="BB405" s="319"/>
      <c r="BC405" s="319"/>
      <c r="BD405" s="319"/>
      <c r="BE405" s="319"/>
      <c r="BF405" s="319"/>
      <c r="BG405" s="319"/>
      <c r="BH405" s="319"/>
    </row>
    <row r="406" spans="28:60" s="256" customFormat="1">
      <c r="AB406" s="461"/>
      <c r="AC406" s="461"/>
      <c r="AD406" s="461"/>
      <c r="AE406" s="461"/>
      <c r="AF406" s="461"/>
      <c r="AG406" s="319"/>
      <c r="AH406" s="319"/>
      <c r="AI406" s="319"/>
      <c r="AJ406" s="319"/>
      <c r="AK406" s="319"/>
      <c r="AL406" s="319"/>
      <c r="AM406" s="319"/>
      <c r="AN406" s="319"/>
      <c r="AO406" s="319"/>
      <c r="AP406" s="319"/>
      <c r="AQ406" s="319"/>
      <c r="AR406" s="319"/>
      <c r="AS406" s="319"/>
      <c r="AT406" s="319"/>
      <c r="AU406" s="319"/>
      <c r="AV406" s="319"/>
      <c r="AW406" s="319"/>
      <c r="AX406" s="319"/>
      <c r="AY406" s="319"/>
      <c r="AZ406" s="319"/>
      <c r="BA406" s="319"/>
      <c r="BB406" s="319"/>
      <c r="BC406" s="319"/>
      <c r="BD406" s="319"/>
      <c r="BE406" s="319"/>
      <c r="BF406" s="319"/>
      <c r="BG406" s="319"/>
      <c r="BH406" s="319"/>
    </row>
    <row r="407" spans="28:60" s="256" customFormat="1">
      <c r="AB407" s="461"/>
      <c r="AC407" s="461"/>
      <c r="AD407" s="461"/>
      <c r="AE407" s="461"/>
      <c r="AF407" s="461"/>
      <c r="AG407" s="319"/>
      <c r="AH407" s="319"/>
      <c r="AI407" s="319"/>
      <c r="AJ407" s="319"/>
      <c r="AK407" s="319"/>
      <c r="AL407" s="319"/>
      <c r="AM407" s="319"/>
      <c r="AN407" s="319"/>
      <c r="AO407" s="319"/>
      <c r="AP407" s="319"/>
      <c r="AQ407" s="319"/>
      <c r="AR407" s="319"/>
      <c r="AS407" s="319"/>
      <c r="AT407" s="319"/>
      <c r="AU407" s="319"/>
      <c r="AV407" s="319"/>
      <c r="AW407" s="319"/>
      <c r="AX407" s="319"/>
      <c r="AY407" s="319"/>
      <c r="AZ407" s="319"/>
      <c r="BA407" s="319"/>
      <c r="BB407" s="319"/>
      <c r="BC407" s="319"/>
      <c r="BD407" s="319"/>
      <c r="BE407" s="319"/>
      <c r="BF407" s="319"/>
      <c r="BG407" s="319"/>
      <c r="BH407" s="319"/>
    </row>
    <row r="408" spans="28:60" s="256" customFormat="1">
      <c r="AB408" s="461"/>
      <c r="AC408" s="461"/>
      <c r="AD408" s="461"/>
      <c r="AE408" s="461"/>
      <c r="AF408" s="461"/>
      <c r="AG408" s="319"/>
      <c r="AH408" s="319"/>
      <c r="AI408" s="319"/>
      <c r="AJ408" s="319"/>
      <c r="AK408" s="319"/>
      <c r="AL408" s="319"/>
      <c r="AM408" s="319"/>
      <c r="AN408" s="319"/>
      <c r="AO408" s="319"/>
      <c r="AP408" s="319"/>
      <c r="AQ408" s="319"/>
      <c r="AR408" s="319"/>
      <c r="AS408" s="319"/>
      <c r="AT408" s="319"/>
      <c r="AU408" s="319"/>
      <c r="AV408" s="319"/>
      <c r="AW408" s="319"/>
      <c r="AX408" s="319"/>
      <c r="AY408" s="319"/>
      <c r="AZ408" s="319"/>
      <c r="BA408" s="319"/>
      <c r="BB408" s="319"/>
      <c r="BC408" s="319"/>
      <c r="BD408" s="319"/>
      <c r="BE408" s="319"/>
      <c r="BF408" s="319"/>
      <c r="BG408" s="319"/>
      <c r="BH408" s="319"/>
    </row>
    <row r="409" spans="28:60" s="256" customFormat="1">
      <c r="AB409" s="461"/>
      <c r="AC409" s="461"/>
      <c r="AD409" s="461"/>
      <c r="AE409" s="461"/>
      <c r="AF409" s="461"/>
      <c r="AG409" s="319"/>
      <c r="AH409" s="319"/>
      <c r="AI409" s="319"/>
      <c r="AJ409" s="319"/>
      <c r="AK409" s="319"/>
      <c r="AL409" s="319"/>
      <c r="AM409" s="319"/>
      <c r="AN409" s="319"/>
      <c r="AO409" s="319"/>
      <c r="AP409" s="319"/>
      <c r="AQ409" s="319"/>
      <c r="AR409" s="319"/>
      <c r="AS409" s="319"/>
      <c r="AT409" s="319"/>
      <c r="AU409" s="319"/>
      <c r="AV409" s="319"/>
      <c r="AW409" s="319"/>
      <c r="AX409" s="319"/>
      <c r="AY409" s="319"/>
      <c r="AZ409" s="319"/>
      <c r="BA409" s="319"/>
      <c r="BB409" s="319"/>
      <c r="BC409" s="319"/>
      <c r="BD409" s="319"/>
      <c r="BE409" s="319"/>
      <c r="BF409" s="319"/>
      <c r="BG409" s="319"/>
      <c r="BH409" s="319"/>
    </row>
    <row r="410" spans="28:60" s="256" customFormat="1">
      <c r="AB410" s="461"/>
      <c r="AC410" s="461"/>
      <c r="AD410" s="461"/>
      <c r="AE410" s="461"/>
      <c r="AF410" s="461"/>
      <c r="AG410" s="319"/>
      <c r="AH410" s="319"/>
      <c r="AI410" s="319"/>
      <c r="AJ410" s="319"/>
      <c r="AK410" s="319"/>
      <c r="AL410" s="319"/>
      <c r="AM410" s="319"/>
      <c r="AN410" s="319"/>
      <c r="AO410" s="319"/>
      <c r="AP410" s="319"/>
      <c r="AQ410" s="319"/>
      <c r="AR410" s="319"/>
      <c r="AS410" s="319"/>
      <c r="AT410" s="319"/>
      <c r="AU410" s="319"/>
      <c r="AV410" s="319"/>
      <c r="AW410" s="319"/>
      <c r="AX410" s="319"/>
      <c r="AY410" s="319"/>
      <c r="AZ410" s="319"/>
      <c r="BA410" s="319"/>
      <c r="BB410" s="319"/>
      <c r="BC410" s="319"/>
      <c r="BD410" s="319"/>
      <c r="BE410" s="319"/>
      <c r="BF410" s="319"/>
      <c r="BG410" s="319"/>
      <c r="BH410" s="319"/>
    </row>
    <row r="411" spans="28:60" s="256" customFormat="1">
      <c r="AB411" s="461"/>
      <c r="AC411" s="461"/>
      <c r="AD411" s="461"/>
      <c r="AE411" s="461"/>
      <c r="AF411" s="461"/>
      <c r="AG411" s="319"/>
      <c r="AH411" s="319"/>
      <c r="AI411" s="319"/>
      <c r="AJ411" s="319"/>
      <c r="AK411" s="319"/>
      <c r="AL411" s="319"/>
      <c r="AM411" s="319"/>
      <c r="AN411" s="319"/>
      <c r="AO411" s="319"/>
      <c r="AP411" s="319"/>
      <c r="AQ411" s="319"/>
      <c r="AR411" s="319"/>
      <c r="AS411" s="319"/>
      <c r="AT411" s="319"/>
      <c r="AU411" s="319"/>
      <c r="AV411" s="319"/>
      <c r="AW411" s="319"/>
      <c r="AX411" s="319"/>
      <c r="AY411" s="319"/>
      <c r="AZ411" s="319"/>
      <c r="BA411" s="319"/>
      <c r="BB411" s="319"/>
      <c r="BC411" s="319"/>
      <c r="BD411" s="319"/>
      <c r="BE411" s="319"/>
      <c r="BF411" s="319"/>
      <c r="BG411" s="319"/>
      <c r="BH411" s="319"/>
    </row>
    <row r="412" spans="28:60" s="256" customFormat="1">
      <c r="AB412" s="461"/>
      <c r="AC412" s="461"/>
      <c r="AD412" s="461"/>
      <c r="AE412" s="461"/>
      <c r="AF412" s="461"/>
      <c r="AG412" s="319"/>
      <c r="AH412" s="319"/>
      <c r="AI412" s="319"/>
      <c r="AJ412" s="319"/>
      <c r="AK412" s="319"/>
      <c r="AL412" s="319"/>
      <c r="AM412" s="319"/>
      <c r="AN412" s="319"/>
      <c r="AO412" s="319"/>
      <c r="AP412" s="319"/>
      <c r="AQ412" s="319"/>
      <c r="AR412" s="319"/>
      <c r="AS412" s="319"/>
      <c r="AT412" s="319"/>
      <c r="AU412" s="319"/>
      <c r="AV412" s="319"/>
      <c r="AW412" s="319"/>
      <c r="AX412" s="319"/>
      <c r="AY412" s="319"/>
      <c r="AZ412" s="319"/>
      <c r="BA412" s="319"/>
      <c r="BB412" s="319"/>
      <c r="BC412" s="319"/>
      <c r="BD412" s="319"/>
      <c r="BE412" s="319"/>
      <c r="BF412" s="319"/>
      <c r="BG412" s="319"/>
      <c r="BH412" s="319"/>
    </row>
    <row r="413" spans="28:60" s="256" customFormat="1">
      <c r="AB413" s="461"/>
      <c r="AC413" s="461"/>
      <c r="AD413" s="461"/>
      <c r="AE413" s="461"/>
      <c r="AF413" s="461"/>
      <c r="AG413" s="319"/>
      <c r="AH413" s="319"/>
      <c r="AI413" s="319"/>
      <c r="AJ413" s="319"/>
      <c r="AK413" s="319"/>
      <c r="AL413" s="319"/>
      <c r="AM413" s="319"/>
      <c r="AN413" s="319"/>
      <c r="AO413" s="319"/>
      <c r="AP413" s="319"/>
      <c r="AQ413" s="319"/>
      <c r="AR413" s="319"/>
      <c r="AS413" s="319"/>
      <c r="AT413" s="319"/>
      <c r="AU413" s="319"/>
      <c r="AV413" s="319"/>
      <c r="AW413" s="319"/>
      <c r="AX413" s="319"/>
      <c r="AY413" s="319"/>
      <c r="AZ413" s="319"/>
      <c r="BA413" s="319"/>
      <c r="BB413" s="319"/>
      <c r="BC413" s="319"/>
      <c r="BD413" s="319"/>
      <c r="BE413" s="319"/>
      <c r="BF413" s="319"/>
      <c r="BG413" s="319"/>
      <c r="BH413" s="319"/>
    </row>
    <row r="414" spans="28:60" s="256" customFormat="1">
      <c r="AB414" s="461"/>
      <c r="AC414" s="461"/>
      <c r="AD414" s="461"/>
      <c r="AE414" s="461"/>
      <c r="AF414" s="461"/>
      <c r="AG414" s="319"/>
      <c r="AH414" s="319"/>
      <c r="AI414" s="319"/>
      <c r="AJ414" s="319"/>
      <c r="AK414" s="319"/>
      <c r="AL414" s="319"/>
      <c r="AM414" s="319"/>
      <c r="AN414" s="319"/>
      <c r="AO414" s="319"/>
      <c r="AP414" s="319"/>
      <c r="AQ414" s="319"/>
      <c r="AR414" s="319"/>
      <c r="AS414" s="319"/>
      <c r="AT414" s="319"/>
      <c r="AU414" s="319"/>
      <c r="AV414" s="319"/>
      <c r="AW414" s="319"/>
      <c r="AX414" s="319"/>
      <c r="AY414" s="319"/>
      <c r="AZ414" s="319"/>
      <c r="BA414" s="319"/>
      <c r="BB414" s="319"/>
      <c r="BC414" s="319"/>
      <c r="BD414" s="319"/>
      <c r="BE414" s="319"/>
      <c r="BF414" s="319"/>
      <c r="BG414" s="319"/>
      <c r="BH414" s="319"/>
    </row>
    <row r="415" spans="28:60" s="256" customFormat="1">
      <c r="AB415" s="461"/>
      <c r="AC415" s="461"/>
      <c r="AD415" s="461"/>
      <c r="AE415" s="461"/>
      <c r="AF415" s="461"/>
      <c r="AG415" s="319"/>
      <c r="AH415" s="319"/>
      <c r="AI415" s="319"/>
      <c r="AJ415" s="319"/>
      <c r="AK415" s="319"/>
      <c r="AL415" s="319"/>
      <c r="AM415" s="319"/>
      <c r="AN415" s="319"/>
      <c r="AO415" s="319"/>
      <c r="AP415" s="319"/>
      <c r="AQ415" s="319"/>
      <c r="AR415" s="319"/>
      <c r="AS415" s="319"/>
      <c r="AT415" s="319"/>
      <c r="AU415" s="319"/>
      <c r="AV415" s="319"/>
      <c r="AW415" s="319"/>
      <c r="AX415" s="319"/>
      <c r="AY415" s="319"/>
      <c r="AZ415" s="319"/>
      <c r="BA415" s="319"/>
      <c r="BB415" s="319"/>
      <c r="BC415" s="319"/>
      <c r="BD415" s="319"/>
      <c r="BE415" s="319"/>
      <c r="BF415" s="319"/>
      <c r="BG415" s="319"/>
      <c r="BH415" s="319"/>
    </row>
    <row r="416" spans="28:60" s="256" customFormat="1">
      <c r="AB416" s="461"/>
      <c r="AC416" s="461"/>
      <c r="AD416" s="461"/>
      <c r="AE416" s="461"/>
      <c r="AF416" s="461"/>
      <c r="AG416" s="319"/>
      <c r="AH416" s="319"/>
      <c r="AI416" s="319"/>
      <c r="AJ416" s="319"/>
      <c r="AK416" s="319"/>
      <c r="AL416" s="319"/>
      <c r="AM416" s="319"/>
      <c r="AN416" s="319"/>
      <c r="AO416" s="319"/>
      <c r="AP416" s="319"/>
      <c r="AQ416" s="319"/>
      <c r="AR416" s="319"/>
      <c r="AS416" s="319"/>
      <c r="AT416" s="319"/>
      <c r="AU416" s="319"/>
      <c r="AV416" s="319"/>
      <c r="AW416" s="319"/>
      <c r="AX416" s="319"/>
      <c r="AY416" s="319"/>
      <c r="AZ416" s="319"/>
      <c r="BA416" s="319"/>
      <c r="BB416" s="319"/>
      <c r="BC416" s="319"/>
      <c r="BD416" s="319"/>
      <c r="BE416" s="319"/>
      <c r="BF416" s="319"/>
      <c r="BG416" s="319"/>
      <c r="BH416" s="319"/>
    </row>
    <row r="417" spans="28:60" s="256" customFormat="1">
      <c r="AB417" s="461"/>
      <c r="AC417" s="461"/>
      <c r="AD417" s="461"/>
      <c r="AE417" s="461"/>
      <c r="AF417" s="461"/>
      <c r="AG417" s="319"/>
      <c r="AH417" s="319"/>
      <c r="AI417" s="319"/>
      <c r="AJ417" s="319"/>
      <c r="AK417" s="319"/>
      <c r="AL417" s="319"/>
      <c r="AM417" s="319"/>
      <c r="AN417" s="319"/>
      <c r="AO417" s="319"/>
      <c r="AP417" s="319"/>
      <c r="AQ417" s="319"/>
      <c r="AR417" s="319"/>
      <c r="AS417" s="319"/>
      <c r="AT417" s="319"/>
      <c r="AU417" s="319"/>
      <c r="AV417" s="319"/>
      <c r="AW417" s="319"/>
      <c r="AX417" s="319"/>
      <c r="AY417" s="319"/>
      <c r="AZ417" s="319"/>
      <c r="BA417" s="319"/>
      <c r="BB417" s="319"/>
      <c r="BC417" s="319"/>
      <c r="BD417" s="319"/>
      <c r="BE417" s="319"/>
      <c r="BF417" s="319"/>
      <c r="BG417" s="319"/>
      <c r="BH417" s="319"/>
    </row>
    <row r="418" spans="28:60" s="256" customFormat="1">
      <c r="AB418" s="461"/>
      <c r="AC418" s="461"/>
      <c r="AD418" s="461"/>
      <c r="AE418" s="461"/>
      <c r="AF418" s="461"/>
      <c r="AG418" s="319"/>
      <c r="AH418" s="319"/>
      <c r="AI418" s="319"/>
      <c r="AJ418" s="319"/>
      <c r="AK418" s="319"/>
      <c r="AL418" s="319"/>
      <c r="AM418" s="319"/>
      <c r="AN418" s="319"/>
      <c r="AO418" s="319"/>
      <c r="AP418" s="319"/>
      <c r="AQ418" s="319"/>
      <c r="AR418" s="319"/>
      <c r="AS418" s="319"/>
      <c r="AT418" s="319"/>
      <c r="AU418" s="319"/>
      <c r="AV418" s="319"/>
      <c r="AW418" s="319"/>
      <c r="AX418" s="319"/>
      <c r="AY418" s="319"/>
      <c r="AZ418" s="319"/>
      <c r="BA418" s="319"/>
      <c r="BB418" s="319"/>
      <c r="BC418" s="319"/>
      <c r="BD418" s="319"/>
      <c r="BE418" s="319"/>
      <c r="BF418" s="319"/>
      <c r="BG418" s="319"/>
      <c r="BH418" s="319"/>
    </row>
    <row r="419" spans="28:60" s="256" customFormat="1">
      <c r="AB419" s="461"/>
      <c r="AC419" s="461"/>
      <c r="AD419" s="461"/>
      <c r="AE419" s="461"/>
      <c r="AF419" s="461"/>
      <c r="AG419" s="319"/>
      <c r="AH419" s="319"/>
      <c r="AI419" s="319"/>
      <c r="AJ419" s="319"/>
      <c r="AK419" s="319"/>
      <c r="AL419" s="319"/>
      <c r="AM419" s="319"/>
      <c r="AN419" s="319"/>
      <c r="AO419" s="319"/>
      <c r="AP419" s="319"/>
      <c r="AQ419" s="319"/>
      <c r="AR419" s="319"/>
      <c r="AS419" s="319"/>
      <c r="AT419" s="319"/>
      <c r="AU419" s="319"/>
      <c r="AV419" s="319"/>
      <c r="AW419" s="319"/>
      <c r="AX419" s="319"/>
      <c r="AY419" s="319"/>
      <c r="AZ419" s="319"/>
      <c r="BA419" s="319"/>
      <c r="BB419" s="319"/>
      <c r="BC419" s="319"/>
      <c r="BD419" s="319"/>
      <c r="BE419" s="319"/>
      <c r="BF419" s="319"/>
      <c r="BG419" s="319"/>
      <c r="BH419" s="319"/>
    </row>
    <row r="420" spans="28:60" s="256" customFormat="1">
      <c r="AB420" s="461"/>
      <c r="AC420" s="461"/>
      <c r="AD420" s="461"/>
      <c r="AE420" s="461"/>
      <c r="AF420" s="461"/>
      <c r="AG420" s="319"/>
      <c r="AH420" s="319"/>
      <c r="AI420" s="319"/>
      <c r="AJ420" s="319"/>
      <c r="AK420" s="319"/>
      <c r="AL420" s="319"/>
      <c r="AM420" s="319"/>
      <c r="AN420" s="319"/>
      <c r="AO420" s="319"/>
      <c r="AP420" s="319"/>
      <c r="AQ420" s="319"/>
      <c r="AR420" s="319"/>
      <c r="AS420" s="319"/>
      <c r="AT420" s="319"/>
      <c r="AU420" s="319"/>
      <c r="AV420" s="319"/>
      <c r="AW420" s="319"/>
      <c r="AX420" s="319"/>
      <c r="AY420" s="319"/>
      <c r="AZ420" s="319"/>
      <c r="BA420" s="319"/>
      <c r="BB420" s="319"/>
      <c r="BC420" s="319"/>
      <c r="BD420" s="319"/>
      <c r="BE420" s="319"/>
      <c r="BF420" s="319"/>
      <c r="BG420" s="319"/>
      <c r="BH420" s="319"/>
    </row>
    <row r="421" spans="28:60" s="256" customFormat="1">
      <c r="AB421" s="461"/>
      <c r="AC421" s="461"/>
      <c r="AD421" s="461"/>
      <c r="AE421" s="461"/>
      <c r="AF421" s="461"/>
      <c r="AG421" s="319"/>
      <c r="AH421" s="319"/>
      <c r="AI421" s="319"/>
      <c r="AJ421" s="319"/>
      <c r="AK421" s="319"/>
      <c r="AL421" s="319"/>
      <c r="AM421" s="319"/>
      <c r="AN421" s="319"/>
      <c r="AO421" s="319"/>
      <c r="AP421" s="319"/>
      <c r="AQ421" s="319"/>
      <c r="AR421" s="319"/>
      <c r="AS421" s="319"/>
      <c r="AT421" s="319"/>
      <c r="AU421" s="319"/>
      <c r="AV421" s="319"/>
      <c r="AW421" s="319"/>
      <c r="AX421" s="319"/>
      <c r="AY421" s="319"/>
      <c r="AZ421" s="319"/>
      <c r="BA421" s="319"/>
      <c r="BB421" s="319"/>
      <c r="BC421" s="319"/>
      <c r="BD421" s="319"/>
      <c r="BE421" s="319"/>
      <c r="BF421" s="319"/>
      <c r="BG421" s="319"/>
      <c r="BH421" s="319"/>
    </row>
    <row r="422" spans="28:60" s="256" customFormat="1">
      <c r="AB422" s="461"/>
      <c r="AC422" s="461"/>
      <c r="AD422" s="461"/>
      <c r="AE422" s="461"/>
      <c r="AF422" s="461"/>
      <c r="AG422" s="319"/>
      <c r="AH422" s="319"/>
      <c r="AI422" s="319"/>
      <c r="AJ422" s="319"/>
      <c r="AK422" s="319"/>
      <c r="AL422" s="319"/>
      <c r="AM422" s="319"/>
      <c r="AN422" s="319"/>
      <c r="AO422" s="319"/>
      <c r="AP422" s="319"/>
      <c r="AQ422" s="319"/>
      <c r="AR422" s="319"/>
      <c r="AS422" s="319"/>
      <c r="AT422" s="319"/>
      <c r="AU422" s="319"/>
      <c r="AV422" s="319"/>
      <c r="AW422" s="319"/>
      <c r="AX422" s="319"/>
      <c r="AY422" s="319"/>
      <c r="AZ422" s="319"/>
      <c r="BA422" s="319"/>
      <c r="BB422" s="319"/>
      <c r="BC422" s="319"/>
      <c r="BD422" s="319"/>
      <c r="BE422" s="319"/>
      <c r="BF422" s="319"/>
      <c r="BG422" s="319"/>
      <c r="BH422" s="319"/>
    </row>
    <row r="423" spans="28:60" s="256" customFormat="1">
      <c r="AB423" s="461"/>
      <c r="AC423" s="461"/>
      <c r="AD423" s="461"/>
      <c r="AE423" s="461"/>
      <c r="AF423" s="461"/>
      <c r="AG423" s="319"/>
      <c r="AH423" s="319"/>
      <c r="AI423" s="319"/>
      <c r="AJ423" s="319"/>
      <c r="AK423" s="319"/>
      <c r="AL423" s="319"/>
      <c r="AM423" s="319"/>
      <c r="AN423" s="319"/>
      <c r="AO423" s="319"/>
      <c r="AP423" s="319"/>
      <c r="AQ423" s="319"/>
      <c r="AR423" s="319"/>
      <c r="AS423" s="319"/>
      <c r="AT423" s="319"/>
      <c r="AU423" s="319"/>
      <c r="AV423" s="319"/>
      <c r="AW423" s="319"/>
      <c r="AX423" s="319"/>
      <c r="AY423" s="319"/>
      <c r="AZ423" s="319"/>
      <c r="BA423" s="319"/>
      <c r="BB423" s="319"/>
      <c r="BC423" s="319"/>
      <c r="BD423" s="319"/>
      <c r="BE423" s="319"/>
      <c r="BF423" s="319"/>
      <c r="BG423" s="319"/>
      <c r="BH423" s="319"/>
    </row>
    <row r="424" spans="28:60" s="256" customFormat="1">
      <c r="AB424" s="461"/>
      <c r="AC424" s="461"/>
      <c r="AD424" s="461"/>
      <c r="AE424" s="461"/>
      <c r="AF424" s="461"/>
      <c r="AG424" s="319"/>
      <c r="AH424" s="319"/>
      <c r="AI424" s="319"/>
      <c r="AJ424" s="319"/>
      <c r="AK424" s="319"/>
      <c r="AL424" s="319"/>
      <c r="AM424" s="319"/>
      <c r="AN424" s="319"/>
      <c r="AO424" s="319"/>
      <c r="AP424" s="319"/>
      <c r="AQ424" s="319"/>
      <c r="AR424" s="319"/>
      <c r="AS424" s="319"/>
      <c r="AT424" s="319"/>
      <c r="AU424" s="319"/>
      <c r="AV424" s="319"/>
      <c r="AW424" s="319"/>
      <c r="AX424" s="319"/>
      <c r="AY424" s="319"/>
      <c r="AZ424" s="319"/>
      <c r="BA424" s="319"/>
      <c r="BB424" s="319"/>
      <c r="BC424" s="319"/>
      <c r="BD424" s="319"/>
      <c r="BE424" s="319"/>
      <c r="BF424" s="319"/>
      <c r="BG424" s="319"/>
      <c r="BH424" s="319"/>
    </row>
    <row r="425" spans="28:60" s="256" customFormat="1">
      <c r="AB425" s="461"/>
      <c r="AC425" s="461"/>
      <c r="AD425" s="461"/>
      <c r="AE425" s="461"/>
      <c r="AF425" s="461"/>
      <c r="AG425" s="319"/>
      <c r="AH425" s="319"/>
      <c r="AI425" s="319"/>
      <c r="AJ425" s="319"/>
      <c r="AK425" s="319"/>
      <c r="AL425" s="319"/>
      <c r="AM425" s="319"/>
      <c r="AN425" s="319"/>
      <c r="AO425" s="319"/>
      <c r="AP425" s="319"/>
      <c r="AQ425" s="319"/>
      <c r="AR425" s="319"/>
      <c r="AS425" s="319"/>
      <c r="AT425" s="319"/>
      <c r="AU425" s="319"/>
      <c r="AV425" s="319"/>
      <c r="AW425" s="319"/>
      <c r="AX425" s="319"/>
      <c r="AY425" s="319"/>
      <c r="AZ425" s="319"/>
      <c r="BA425" s="319"/>
      <c r="BB425" s="319"/>
      <c r="BC425" s="319"/>
      <c r="BD425" s="319"/>
      <c r="BE425" s="319"/>
      <c r="BF425" s="319"/>
      <c r="BG425" s="319"/>
      <c r="BH425" s="319"/>
    </row>
    <row r="426" spans="28:60" s="256" customFormat="1">
      <c r="AB426" s="461"/>
      <c r="AC426" s="461"/>
      <c r="AD426" s="461"/>
      <c r="AE426" s="461"/>
      <c r="AF426" s="461"/>
      <c r="AG426" s="319"/>
      <c r="AH426" s="319"/>
      <c r="AI426" s="319"/>
      <c r="AJ426" s="319"/>
      <c r="AK426" s="319"/>
      <c r="AL426" s="319"/>
      <c r="AM426" s="319"/>
      <c r="AN426" s="319"/>
      <c r="AO426" s="319"/>
      <c r="AP426" s="319"/>
      <c r="AQ426" s="319"/>
      <c r="AR426" s="319"/>
      <c r="AS426" s="319"/>
      <c r="AT426" s="319"/>
      <c r="AU426" s="319"/>
      <c r="AV426" s="319"/>
      <c r="AW426" s="319"/>
      <c r="AX426" s="319"/>
      <c r="AY426" s="319"/>
      <c r="AZ426" s="319"/>
      <c r="BA426" s="319"/>
      <c r="BB426" s="319"/>
      <c r="BC426" s="319"/>
      <c r="BD426" s="319"/>
      <c r="BE426" s="319"/>
      <c r="BF426" s="319"/>
      <c r="BG426" s="319"/>
      <c r="BH426" s="319"/>
    </row>
    <row r="427" spans="28:60" s="256" customFormat="1">
      <c r="AB427" s="461"/>
      <c r="AC427" s="461"/>
      <c r="AD427" s="461"/>
      <c r="AE427" s="461"/>
      <c r="AF427" s="461"/>
      <c r="AG427" s="319"/>
      <c r="AH427" s="319"/>
      <c r="AI427" s="319"/>
      <c r="AJ427" s="319"/>
      <c r="AK427" s="319"/>
      <c r="AL427" s="319"/>
      <c r="AM427" s="319"/>
      <c r="AN427" s="319"/>
      <c r="AO427" s="319"/>
      <c r="AP427" s="319"/>
      <c r="AQ427" s="319"/>
      <c r="AR427" s="319"/>
      <c r="AS427" s="319"/>
      <c r="AT427" s="319"/>
      <c r="AU427" s="319"/>
      <c r="AV427" s="319"/>
      <c r="AW427" s="319"/>
      <c r="AX427" s="319"/>
      <c r="AY427" s="319"/>
      <c r="AZ427" s="319"/>
      <c r="BA427" s="319"/>
      <c r="BB427" s="319"/>
      <c r="BC427" s="319"/>
      <c r="BD427" s="319"/>
      <c r="BE427" s="319"/>
      <c r="BF427" s="319"/>
      <c r="BG427" s="319"/>
      <c r="BH427" s="319"/>
    </row>
    <row r="428" spans="28:60" s="256" customFormat="1">
      <c r="AB428" s="461"/>
      <c r="AC428" s="461"/>
      <c r="AD428" s="461"/>
      <c r="AE428" s="461"/>
      <c r="AF428" s="461"/>
      <c r="AG428" s="319"/>
      <c r="AH428" s="319"/>
      <c r="AI428" s="319"/>
      <c r="AJ428" s="319"/>
      <c r="AK428" s="319"/>
      <c r="AL428" s="319"/>
      <c r="AM428" s="319"/>
      <c r="AN428" s="319"/>
      <c r="AO428" s="319"/>
      <c r="AP428" s="319"/>
      <c r="AQ428" s="319"/>
      <c r="AR428" s="319"/>
      <c r="AS428" s="319"/>
      <c r="AT428" s="319"/>
      <c r="AU428" s="319"/>
      <c r="AV428" s="319"/>
      <c r="AW428" s="319"/>
      <c r="AX428" s="319"/>
      <c r="AY428" s="319"/>
      <c r="AZ428" s="319"/>
      <c r="BA428" s="319"/>
      <c r="BB428" s="319"/>
      <c r="BC428" s="319"/>
      <c r="BD428" s="319"/>
      <c r="BE428" s="319"/>
      <c r="BF428" s="319"/>
      <c r="BG428" s="319"/>
      <c r="BH428" s="319"/>
    </row>
    <row r="429" spans="28:60" s="256" customFormat="1">
      <c r="AB429" s="461"/>
      <c r="AC429" s="461"/>
      <c r="AD429" s="461"/>
      <c r="AE429" s="461"/>
      <c r="AF429" s="461"/>
      <c r="AG429" s="319"/>
      <c r="AH429" s="319"/>
      <c r="AI429" s="319"/>
      <c r="AJ429" s="319"/>
      <c r="AK429" s="319"/>
      <c r="AL429" s="319"/>
      <c r="AM429" s="319"/>
      <c r="AN429" s="319"/>
      <c r="AO429" s="319"/>
      <c r="AP429" s="319"/>
      <c r="AQ429" s="319"/>
      <c r="AR429" s="319"/>
      <c r="AS429" s="319"/>
      <c r="AT429" s="319"/>
      <c r="AU429" s="319"/>
      <c r="AV429" s="319"/>
      <c r="AW429" s="319"/>
      <c r="AX429" s="319"/>
      <c r="AY429" s="319"/>
      <c r="AZ429" s="319"/>
      <c r="BA429" s="319"/>
      <c r="BB429" s="319"/>
      <c r="BC429" s="319"/>
      <c r="BD429" s="319"/>
      <c r="BE429" s="319"/>
      <c r="BF429" s="319"/>
      <c r="BG429" s="319"/>
      <c r="BH429" s="319"/>
    </row>
    <row r="430" spans="28:60" s="256" customFormat="1">
      <c r="AB430" s="461"/>
      <c r="AC430" s="461"/>
      <c r="AD430" s="461"/>
      <c r="AE430" s="461"/>
      <c r="AF430" s="461"/>
      <c r="AG430" s="319"/>
      <c r="AH430" s="319"/>
      <c r="AI430" s="319"/>
      <c r="AJ430" s="319"/>
      <c r="AK430" s="319"/>
      <c r="AL430" s="319"/>
      <c r="AM430" s="319"/>
      <c r="AN430" s="319"/>
      <c r="AO430" s="319"/>
      <c r="AP430" s="319"/>
      <c r="AQ430" s="319"/>
      <c r="AR430" s="319"/>
      <c r="AS430" s="319"/>
      <c r="AT430" s="319"/>
      <c r="AU430" s="319"/>
      <c r="AV430" s="319"/>
      <c r="AW430" s="319"/>
      <c r="AX430" s="319"/>
      <c r="AY430" s="319"/>
      <c r="AZ430" s="319"/>
      <c r="BA430" s="319"/>
      <c r="BB430" s="319"/>
      <c r="BC430" s="319"/>
      <c r="BD430" s="319"/>
      <c r="BE430" s="319"/>
      <c r="BF430" s="319"/>
      <c r="BG430" s="319"/>
      <c r="BH430" s="319"/>
    </row>
    <row r="431" spans="28:60" s="256" customFormat="1">
      <c r="AB431" s="461"/>
      <c r="AC431" s="461"/>
      <c r="AD431" s="461"/>
      <c r="AE431" s="461"/>
      <c r="AF431" s="461"/>
      <c r="AG431" s="319"/>
      <c r="AH431" s="319"/>
      <c r="AI431" s="319"/>
      <c r="AJ431" s="319"/>
      <c r="AK431" s="319"/>
      <c r="AL431" s="319"/>
      <c r="AM431" s="319"/>
      <c r="AN431" s="319"/>
      <c r="AO431" s="319"/>
      <c r="AP431" s="319"/>
      <c r="AQ431" s="319"/>
      <c r="AR431" s="319"/>
      <c r="AS431" s="319"/>
      <c r="AT431" s="319"/>
      <c r="AU431" s="319"/>
      <c r="AV431" s="319"/>
      <c r="AW431" s="319"/>
      <c r="AX431" s="319"/>
      <c r="AY431" s="319"/>
      <c r="AZ431" s="319"/>
      <c r="BA431" s="319"/>
      <c r="BB431" s="319"/>
      <c r="BC431" s="319"/>
      <c r="BD431" s="319"/>
      <c r="BE431" s="319"/>
      <c r="BF431" s="319"/>
      <c r="BG431" s="319"/>
      <c r="BH431" s="319"/>
    </row>
    <row r="432" spans="28:60" s="256" customFormat="1">
      <c r="AB432" s="461"/>
      <c r="AC432" s="461"/>
      <c r="AD432" s="461"/>
      <c r="AE432" s="461"/>
      <c r="AF432" s="461"/>
      <c r="AG432" s="319"/>
      <c r="AH432" s="319"/>
      <c r="AI432" s="319"/>
      <c r="AJ432" s="319"/>
      <c r="AK432" s="319"/>
      <c r="AL432" s="319"/>
      <c r="AM432" s="319"/>
      <c r="AN432" s="319"/>
      <c r="AO432" s="319"/>
      <c r="AP432" s="319"/>
      <c r="AQ432" s="319"/>
      <c r="AR432" s="319"/>
      <c r="AS432" s="319"/>
      <c r="AT432" s="319"/>
      <c r="AU432" s="319"/>
      <c r="AV432" s="319"/>
      <c r="AW432" s="319"/>
      <c r="AX432" s="319"/>
      <c r="AY432" s="319"/>
      <c r="AZ432" s="319"/>
      <c r="BA432" s="319"/>
      <c r="BB432" s="319"/>
      <c r="BC432" s="319"/>
      <c r="BD432" s="319"/>
      <c r="BE432" s="319"/>
      <c r="BF432" s="319"/>
      <c r="BG432" s="319"/>
      <c r="BH432" s="319"/>
    </row>
    <row r="433" spans="28:60" s="256" customFormat="1">
      <c r="AB433" s="461"/>
      <c r="AC433" s="461"/>
      <c r="AD433" s="461"/>
      <c r="AE433" s="461"/>
      <c r="AF433" s="461"/>
      <c r="AG433" s="319"/>
      <c r="AH433" s="319"/>
      <c r="AI433" s="319"/>
      <c r="AJ433" s="319"/>
      <c r="AK433" s="319"/>
      <c r="AL433" s="319"/>
      <c r="AM433" s="319"/>
      <c r="AN433" s="319"/>
      <c r="AO433" s="319"/>
      <c r="AP433" s="319"/>
      <c r="AQ433" s="319"/>
      <c r="AR433" s="319"/>
      <c r="AS433" s="319"/>
      <c r="AT433" s="319"/>
      <c r="AU433" s="319"/>
      <c r="AV433" s="319"/>
      <c r="AW433" s="319"/>
      <c r="AX433" s="319"/>
      <c r="AY433" s="319"/>
      <c r="AZ433" s="319"/>
      <c r="BA433" s="319"/>
      <c r="BB433" s="319"/>
      <c r="BC433" s="319"/>
      <c r="BD433" s="319"/>
      <c r="BE433" s="319"/>
      <c r="BF433" s="319"/>
      <c r="BG433" s="319"/>
      <c r="BH433" s="319"/>
    </row>
    <row r="434" spans="28:60" s="256" customFormat="1">
      <c r="AB434" s="461"/>
      <c r="AC434" s="461"/>
      <c r="AD434" s="461"/>
      <c r="AE434" s="461"/>
      <c r="AF434" s="461"/>
      <c r="AG434" s="319"/>
      <c r="AH434" s="319"/>
      <c r="AI434" s="319"/>
      <c r="AJ434" s="319"/>
      <c r="AK434" s="319"/>
      <c r="AL434" s="319"/>
      <c r="AM434" s="319"/>
      <c r="AN434" s="319"/>
      <c r="AO434" s="319"/>
      <c r="AP434" s="319"/>
      <c r="AQ434" s="319"/>
      <c r="AR434" s="319"/>
      <c r="AS434" s="319"/>
      <c r="AT434" s="319"/>
      <c r="AU434" s="319"/>
      <c r="AV434" s="319"/>
      <c r="AW434" s="319"/>
      <c r="AX434" s="319"/>
      <c r="AY434" s="319"/>
      <c r="AZ434" s="319"/>
      <c r="BA434" s="319"/>
      <c r="BB434" s="319"/>
      <c r="BC434" s="319"/>
      <c r="BD434" s="319"/>
      <c r="BE434" s="319"/>
      <c r="BF434" s="319"/>
      <c r="BG434" s="319"/>
      <c r="BH434" s="319"/>
    </row>
    <row r="435" spans="28:60" s="256" customFormat="1">
      <c r="AB435" s="461"/>
      <c r="AC435" s="461"/>
      <c r="AD435" s="461"/>
      <c r="AE435" s="461"/>
      <c r="AF435" s="461"/>
      <c r="AG435" s="319"/>
      <c r="AH435" s="319"/>
      <c r="AI435" s="319"/>
      <c r="AJ435" s="319"/>
      <c r="AK435" s="319"/>
      <c r="AL435" s="319"/>
      <c r="AM435" s="319"/>
      <c r="AN435" s="319"/>
      <c r="AO435" s="319"/>
      <c r="AP435" s="319"/>
      <c r="AQ435" s="319"/>
      <c r="AR435" s="319"/>
      <c r="AS435" s="319"/>
      <c r="AT435" s="319"/>
      <c r="AU435" s="319"/>
      <c r="AV435" s="319"/>
      <c r="AW435" s="319"/>
      <c r="AX435" s="319"/>
      <c r="AY435" s="319"/>
      <c r="AZ435" s="319"/>
      <c r="BA435" s="319"/>
      <c r="BB435" s="319"/>
      <c r="BC435" s="319"/>
      <c r="BD435" s="319"/>
      <c r="BE435" s="319"/>
      <c r="BF435" s="319"/>
      <c r="BG435" s="319"/>
      <c r="BH435" s="319"/>
    </row>
    <row r="436" spans="28:60" s="256" customFormat="1">
      <c r="AB436" s="461"/>
      <c r="AC436" s="461"/>
      <c r="AD436" s="461"/>
      <c r="AE436" s="461"/>
      <c r="AF436" s="461"/>
      <c r="AG436" s="319"/>
      <c r="AH436" s="319"/>
      <c r="AI436" s="319"/>
      <c r="AJ436" s="319"/>
      <c r="AK436" s="319"/>
      <c r="AL436" s="319"/>
      <c r="AM436" s="319"/>
      <c r="AN436" s="319"/>
      <c r="AO436" s="319"/>
      <c r="AP436" s="319"/>
      <c r="AQ436" s="319"/>
      <c r="AR436" s="319"/>
      <c r="AS436" s="319"/>
      <c r="AT436" s="319"/>
      <c r="AU436" s="319"/>
      <c r="AV436" s="319"/>
      <c r="AW436" s="319"/>
      <c r="AX436" s="319"/>
      <c r="AY436" s="319"/>
      <c r="AZ436" s="319"/>
      <c r="BA436" s="319"/>
      <c r="BB436" s="319"/>
      <c r="BC436" s="319"/>
      <c r="BD436" s="319"/>
      <c r="BE436" s="319"/>
      <c r="BF436" s="319"/>
      <c r="BG436" s="319"/>
      <c r="BH436" s="319"/>
    </row>
    <row r="437" spans="28:60" s="256" customFormat="1">
      <c r="AB437" s="461"/>
      <c r="AC437" s="461"/>
      <c r="AD437" s="461"/>
      <c r="AE437" s="461"/>
      <c r="AF437" s="461"/>
      <c r="AG437" s="319"/>
      <c r="AH437" s="319"/>
      <c r="AI437" s="319"/>
      <c r="AJ437" s="319"/>
      <c r="AK437" s="319"/>
      <c r="AL437" s="319"/>
      <c r="AM437" s="319"/>
      <c r="AN437" s="319"/>
      <c r="AO437" s="319"/>
      <c r="AP437" s="319"/>
      <c r="AQ437" s="319"/>
      <c r="AR437" s="319"/>
      <c r="AS437" s="319"/>
      <c r="AT437" s="319"/>
      <c r="AU437" s="319"/>
      <c r="AV437" s="319"/>
      <c r="AW437" s="319"/>
      <c r="AX437" s="319"/>
      <c r="AY437" s="319"/>
      <c r="AZ437" s="319"/>
      <c r="BA437" s="319"/>
      <c r="BB437" s="319"/>
      <c r="BC437" s="319"/>
      <c r="BD437" s="319"/>
      <c r="BE437" s="319"/>
      <c r="BF437" s="319"/>
      <c r="BG437" s="319"/>
      <c r="BH437" s="319"/>
    </row>
    <row r="438" spans="28:60" s="256" customFormat="1">
      <c r="AB438" s="461"/>
      <c r="AC438" s="461"/>
      <c r="AD438" s="461"/>
      <c r="AE438" s="461"/>
      <c r="AF438" s="461"/>
      <c r="AG438" s="319"/>
      <c r="AH438" s="319"/>
      <c r="AI438" s="319"/>
      <c r="AJ438" s="319"/>
      <c r="AK438" s="319"/>
      <c r="AL438" s="319"/>
      <c r="AM438" s="319"/>
      <c r="AN438" s="319"/>
      <c r="AO438" s="319"/>
      <c r="AP438" s="319"/>
      <c r="AQ438" s="319"/>
      <c r="AR438" s="319"/>
      <c r="AS438" s="319"/>
      <c r="AT438" s="319"/>
      <c r="AU438" s="319"/>
      <c r="AV438" s="319"/>
      <c r="AW438" s="319"/>
      <c r="AX438" s="319"/>
      <c r="AY438" s="319"/>
      <c r="AZ438" s="319"/>
      <c r="BA438" s="319"/>
      <c r="BB438" s="319"/>
      <c r="BC438" s="319"/>
      <c r="BD438" s="319"/>
      <c r="BE438" s="319"/>
      <c r="BF438" s="319"/>
      <c r="BG438" s="319"/>
      <c r="BH438" s="319"/>
    </row>
    <row r="439" spans="28:60" s="256" customFormat="1">
      <c r="AB439" s="461"/>
      <c r="AC439" s="461"/>
      <c r="AD439" s="461"/>
      <c r="AE439" s="461"/>
      <c r="AF439" s="461"/>
      <c r="AG439" s="319"/>
      <c r="AH439" s="319"/>
      <c r="AI439" s="319"/>
      <c r="AJ439" s="319"/>
      <c r="AK439" s="319"/>
      <c r="AL439" s="319"/>
      <c r="AM439" s="319"/>
      <c r="AN439" s="319"/>
      <c r="AO439" s="319"/>
      <c r="AP439" s="319"/>
      <c r="AQ439" s="319"/>
      <c r="AR439" s="319"/>
      <c r="AS439" s="319"/>
      <c r="AT439" s="319"/>
      <c r="AU439" s="319"/>
      <c r="AV439" s="319"/>
      <c r="AW439" s="319"/>
      <c r="AX439" s="319"/>
      <c r="AY439" s="319"/>
      <c r="AZ439" s="319"/>
      <c r="BA439" s="319"/>
      <c r="BB439" s="319"/>
      <c r="BC439" s="319"/>
      <c r="BD439" s="319"/>
      <c r="BE439" s="319"/>
      <c r="BF439" s="319"/>
      <c r="BG439" s="319"/>
      <c r="BH439" s="319"/>
    </row>
    <row r="440" spans="28:60" s="256" customFormat="1">
      <c r="AB440" s="461"/>
      <c r="AC440" s="461"/>
      <c r="AD440" s="461"/>
      <c r="AE440" s="461"/>
      <c r="AF440" s="461"/>
      <c r="AG440" s="319"/>
      <c r="AH440" s="319"/>
      <c r="AI440" s="319"/>
      <c r="AJ440" s="319"/>
      <c r="AK440" s="319"/>
      <c r="AL440" s="319"/>
      <c r="AM440" s="319"/>
      <c r="AN440" s="319"/>
      <c r="AO440" s="319"/>
      <c r="AP440" s="319"/>
      <c r="AQ440" s="319"/>
      <c r="AR440" s="319"/>
      <c r="AS440" s="319"/>
      <c r="AT440" s="319"/>
      <c r="AU440" s="319"/>
      <c r="AV440" s="319"/>
      <c r="AW440" s="319"/>
      <c r="AX440" s="319"/>
      <c r="AY440" s="319"/>
      <c r="AZ440" s="319"/>
      <c r="BA440" s="319"/>
      <c r="BB440" s="319"/>
      <c r="BC440" s="319"/>
      <c r="BD440" s="319"/>
      <c r="BE440" s="319"/>
      <c r="BF440" s="319"/>
      <c r="BG440" s="319"/>
      <c r="BH440" s="319"/>
    </row>
    <row r="441" spans="28:60" s="256" customFormat="1">
      <c r="AB441" s="461"/>
      <c r="AC441" s="461"/>
      <c r="AD441" s="461"/>
      <c r="AE441" s="461"/>
      <c r="AF441" s="461"/>
      <c r="AG441" s="319"/>
      <c r="AH441" s="319"/>
      <c r="AI441" s="319"/>
      <c r="AJ441" s="319"/>
      <c r="AK441" s="319"/>
      <c r="AL441" s="319"/>
      <c r="AM441" s="319"/>
      <c r="AN441" s="319"/>
      <c r="AO441" s="319"/>
      <c r="AP441" s="319"/>
      <c r="AQ441" s="319"/>
      <c r="AR441" s="319"/>
      <c r="AS441" s="319"/>
      <c r="AT441" s="319"/>
      <c r="AU441" s="319"/>
      <c r="AV441" s="319"/>
      <c r="AW441" s="319"/>
      <c r="AX441" s="319"/>
      <c r="AY441" s="319"/>
      <c r="AZ441" s="319"/>
      <c r="BA441" s="319"/>
      <c r="BB441" s="319"/>
      <c r="BC441" s="319"/>
      <c r="BD441" s="319"/>
      <c r="BE441" s="319"/>
      <c r="BF441" s="319"/>
      <c r="BG441" s="319"/>
      <c r="BH441" s="319"/>
    </row>
    <row r="442" spans="28:60" s="256" customFormat="1">
      <c r="AB442" s="461"/>
      <c r="AC442" s="461"/>
      <c r="AD442" s="461"/>
      <c r="AE442" s="461"/>
      <c r="AF442" s="461"/>
      <c r="AG442" s="319"/>
      <c r="AH442" s="319"/>
      <c r="AI442" s="319"/>
      <c r="AJ442" s="319"/>
      <c r="AK442" s="319"/>
      <c r="AL442" s="319"/>
      <c r="AM442" s="319"/>
      <c r="AN442" s="319"/>
      <c r="AO442" s="319"/>
      <c r="AP442" s="319"/>
      <c r="AQ442" s="319"/>
      <c r="AR442" s="319"/>
      <c r="AS442" s="319"/>
      <c r="AT442" s="319"/>
      <c r="AU442" s="319"/>
      <c r="AV442" s="319"/>
      <c r="AW442" s="319"/>
      <c r="AX442" s="319"/>
      <c r="AY442" s="319"/>
      <c r="AZ442" s="319"/>
      <c r="BA442" s="319"/>
      <c r="BB442" s="319"/>
      <c r="BC442" s="319"/>
      <c r="BD442" s="319"/>
      <c r="BE442" s="319"/>
      <c r="BF442" s="319"/>
      <c r="BG442" s="319"/>
      <c r="BH442" s="319"/>
    </row>
    <row r="443" spans="28:60" s="256" customFormat="1">
      <c r="AB443" s="461"/>
      <c r="AC443" s="461"/>
      <c r="AD443" s="461"/>
      <c r="AE443" s="461"/>
      <c r="AF443" s="461"/>
      <c r="AG443" s="319"/>
      <c r="AH443" s="319"/>
      <c r="AI443" s="319"/>
      <c r="AJ443" s="319"/>
      <c r="AK443" s="319"/>
      <c r="AL443" s="319"/>
      <c r="AM443" s="319"/>
      <c r="AN443" s="319"/>
      <c r="AO443" s="319"/>
      <c r="AP443" s="319"/>
      <c r="AQ443" s="319"/>
      <c r="AR443" s="319"/>
      <c r="AS443" s="319"/>
      <c r="AT443" s="319"/>
      <c r="AU443" s="319"/>
      <c r="AV443" s="319"/>
      <c r="AW443" s="319"/>
      <c r="AX443" s="319"/>
      <c r="AY443" s="319"/>
      <c r="AZ443" s="319"/>
      <c r="BA443" s="319"/>
      <c r="BB443" s="319"/>
      <c r="BC443" s="319"/>
      <c r="BD443" s="319"/>
      <c r="BE443" s="319"/>
      <c r="BF443" s="319"/>
      <c r="BG443" s="319"/>
      <c r="BH443" s="319"/>
    </row>
    <row r="444" spans="28:60" s="256" customFormat="1">
      <c r="AB444" s="461"/>
      <c r="AC444" s="461"/>
      <c r="AD444" s="461"/>
      <c r="AE444" s="461"/>
      <c r="AF444" s="461"/>
      <c r="AG444" s="319"/>
      <c r="AH444" s="319"/>
      <c r="AI444" s="319"/>
      <c r="AJ444" s="319"/>
      <c r="AK444" s="319"/>
      <c r="AL444" s="319"/>
      <c r="AM444" s="319"/>
      <c r="AN444" s="319"/>
      <c r="AO444" s="319"/>
      <c r="AP444" s="319"/>
      <c r="AQ444" s="319"/>
      <c r="AR444" s="319"/>
      <c r="AS444" s="319"/>
      <c r="AT444" s="319"/>
      <c r="AU444" s="319"/>
      <c r="AV444" s="319"/>
      <c r="AW444" s="319"/>
      <c r="AX444" s="319"/>
      <c r="AY444" s="319"/>
      <c r="AZ444" s="319"/>
      <c r="BA444" s="319"/>
      <c r="BB444" s="319"/>
      <c r="BC444" s="319"/>
      <c r="BD444" s="319"/>
      <c r="BE444" s="319"/>
      <c r="BF444" s="319"/>
      <c r="BG444" s="319"/>
      <c r="BH444" s="319"/>
    </row>
    <row r="445" spans="28:60" s="256" customFormat="1">
      <c r="AB445" s="461"/>
      <c r="AC445" s="461"/>
      <c r="AD445" s="461"/>
      <c r="AE445" s="461"/>
      <c r="AF445" s="461"/>
      <c r="AG445" s="319"/>
      <c r="AH445" s="319"/>
      <c r="AI445" s="319"/>
      <c r="AJ445" s="319"/>
      <c r="AK445" s="319"/>
      <c r="AL445" s="319"/>
      <c r="AM445" s="319"/>
      <c r="AN445" s="319"/>
      <c r="AO445" s="319"/>
      <c r="AP445" s="319"/>
      <c r="AQ445" s="319"/>
      <c r="AR445" s="319"/>
      <c r="AS445" s="319"/>
      <c r="AT445" s="319"/>
      <c r="AU445" s="319"/>
      <c r="AV445" s="319"/>
      <c r="AW445" s="319"/>
      <c r="AX445" s="319"/>
      <c r="AY445" s="319"/>
      <c r="AZ445" s="319"/>
      <c r="BA445" s="319"/>
      <c r="BB445" s="319"/>
      <c r="BC445" s="319"/>
      <c r="BD445" s="319"/>
      <c r="BE445" s="319"/>
      <c r="BF445" s="319"/>
      <c r="BG445" s="319"/>
      <c r="BH445" s="319"/>
    </row>
    <row r="446" spans="28:60" s="256" customFormat="1">
      <c r="AB446" s="461"/>
      <c r="AC446" s="461"/>
      <c r="AD446" s="461"/>
      <c r="AE446" s="461"/>
      <c r="AF446" s="461"/>
      <c r="AG446" s="319"/>
      <c r="AH446" s="319"/>
      <c r="AI446" s="319"/>
      <c r="AJ446" s="319"/>
      <c r="AK446" s="319"/>
      <c r="AL446" s="319"/>
      <c r="AM446" s="319"/>
      <c r="AN446" s="319"/>
      <c r="AO446" s="319"/>
      <c r="AP446" s="319"/>
      <c r="AQ446" s="319"/>
      <c r="AR446" s="319"/>
      <c r="AS446" s="319"/>
      <c r="AT446" s="319"/>
      <c r="AU446" s="319"/>
      <c r="AV446" s="319"/>
      <c r="AW446" s="319"/>
      <c r="AX446" s="319"/>
      <c r="AY446" s="319"/>
      <c r="AZ446" s="319"/>
      <c r="BA446" s="319"/>
      <c r="BB446" s="319"/>
      <c r="BC446" s="319"/>
      <c r="BD446" s="319"/>
      <c r="BE446" s="319"/>
      <c r="BF446" s="319"/>
      <c r="BG446" s="319"/>
      <c r="BH446" s="319"/>
    </row>
    <row r="447" spans="28:60" s="256" customFormat="1">
      <c r="AB447" s="461"/>
      <c r="AC447" s="461"/>
      <c r="AD447" s="461"/>
      <c r="AE447" s="461"/>
      <c r="AF447" s="461"/>
      <c r="AG447" s="319"/>
      <c r="AH447" s="319"/>
      <c r="AI447" s="319"/>
      <c r="AJ447" s="319"/>
      <c r="AK447" s="319"/>
      <c r="AL447" s="319"/>
      <c r="AM447" s="319"/>
      <c r="AN447" s="319"/>
      <c r="AO447" s="319"/>
      <c r="AP447" s="319"/>
      <c r="AQ447" s="319"/>
      <c r="AR447" s="319"/>
      <c r="AS447" s="319"/>
      <c r="AT447" s="319"/>
      <c r="AU447" s="319"/>
      <c r="AV447" s="319"/>
      <c r="AW447" s="319"/>
      <c r="AX447" s="319"/>
      <c r="AY447" s="319"/>
      <c r="AZ447" s="319"/>
      <c r="BA447" s="319"/>
      <c r="BB447" s="319"/>
      <c r="BC447" s="319"/>
      <c r="BD447" s="319"/>
      <c r="BE447" s="319"/>
      <c r="BF447" s="319"/>
      <c r="BG447" s="319"/>
      <c r="BH447" s="319"/>
    </row>
    <row r="448" spans="28:60" s="256" customFormat="1">
      <c r="AB448" s="461"/>
      <c r="AC448" s="461"/>
      <c r="AD448" s="461"/>
      <c r="AE448" s="461"/>
      <c r="AF448" s="461"/>
      <c r="AG448" s="319"/>
      <c r="AH448" s="319"/>
      <c r="AI448" s="319"/>
      <c r="AJ448" s="319"/>
      <c r="AK448" s="319"/>
      <c r="AL448" s="319"/>
      <c r="AM448" s="319"/>
      <c r="AN448" s="319"/>
      <c r="AO448" s="319"/>
      <c r="AP448" s="319"/>
      <c r="AQ448" s="319"/>
      <c r="AR448" s="319"/>
      <c r="AS448" s="319"/>
      <c r="AT448" s="319"/>
      <c r="AU448" s="319"/>
      <c r="AV448" s="319"/>
      <c r="AW448" s="319"/>
      <c r="AX448" s="319"/>
      <c r="AY448" s="319"/>
      <c r="AZ448" s="319"/>
      <c r="BA448" s="319"/>
      <c r="BB448" s="319"/>
      <c r="BC448" s="319"/>
      <c r="BD448" s="319"/>
      <c r="BE448" s="319"/>
      <c r="BF448" s="319"/>
      <c r="BG448" s="319"/>
      <c r="BH448" s="319"/>
    </row>
    <row r="449" spans="28:60" s="256" customFormat="1">
      <c r="AB449" s="461"/>
      <c r="AC449" s="461"/>
      <c r="AD449" s="461"/>
      <c r="AE449" s="461"/>
      <c r="AF449" s="461"/>
      <c r="AG449" s="319"/>
      <c r="AH449" s="319"/>
      <c r="AI449" s="319"/>
      <c r="AJ449" s="319"/>
      <c r="AK449" s="319"/>
      <c r="AL449" s="319"/>
      <c r="AM449" s="319"/>
      <c r="AN449" s="319"/>
      <c r="AO449" s="319"/>
      <c r="AP449" s="319"/>
      <c r="AQ449" s="319"/>
      <c r="AR449" s="319"/>
      <c r="AS449" s="319"/>
      <c r="AT449" s="319"/>
      <c r="AU449" s="319"/>
      <c r="AV449" s="319"/>
      <c r="AW449" s="319"/>
      <c r="AX449" s="319"/>
      <c r="AY449" s="319"/>
      <c r="AZ449" s="319"/>
      <c r="BA449" s="319"/>
      <c r="BB449" s="319"/>
      <c r="BC449" s="319"/>
      <c r="BD449" s="319"/>
      <c r="BE449" s="319"/>
      <c r="BF449" s="319"/>
      <c r="BG449" s="319"/>
      <c r="BH449" s="319"/>
    </row>
  </sheetData>
  <sheetProtection password="CCDF" sheet="1" objects="1" scenarios="1"/>
  <mergeCells count="370">
    <mergeCell ref="C141:I141"/>
    <mergeCell ref="K141:Z141"/>
    <mergeCell ref="Q211:Z211"/>
    <mergeCell ref="C212:N212"/>
    <mergeCell ref="O212:P212"/>
    <mergeCell ref="C213:N213"/>
    <mergeCell ref="O213:P213"/>
    <mergeCell ref="C190:I190"/>
    <mergeCell ref="C167:I167"/>
    <mergeCell ref="K167:Z167"/>
    <mergeCell ref="K177:Z177"/>
    <mergeCell ref="K161:Z161"/>
    <mergeCell ref="C168:I168"/>
    <mergeCell ref="K168:Z168"/>
    <mergeCell ref="C160:I160"/>
    <mergeCell ref="C159:I159"/>
    <mergeCell ref="K159:Z159"/>
    <mergeCell ref="C177:I177"/>
    <mergeCell ref="K151:Z151"/>
    <mergeCell ref="C152:E152"/>
    <mergeCell ref="F152:G152"/>
    <mergeCell ref="H152:J152"/>
    <mergeCell ref="K152:Z152"/>
    <mergeCell ref="C162:I162"/>
    <mergeCell ref="C214:I215"/>
    <mergeCell ref="C179:I179"/>
    <mergeCell ref="R184:W184"/>
    <mergeCell ref="C192:I192"/>
    <mergeCell ref="K192:Q192"/>
    <mergeCell ref="R192:X192"/>
    <mergeCell ref="Y192:Z192"/>
    <mergeCell ref="C186:I186"/>
    <mergeCell ref="K184:Q184"/>
    <mergeCell ref="C185:I185"/>
    <mergeCell ref="R187:X187"/>
    <mergeCell ref="K190:Q190"/>
    <mergeCell ref="C188:I188"/>
    <mergeCell ref="C187:I187"/>
    <mergeCell ref="R190:X190"/>
    <mergeCell ref="K179:Y179"/>
    <mergeCell ref="K187:Q187"/>
    <mergeCell ref="Y186:Z186"/>
    <mergeCell ref="Y187:Z187"/>
    <mergeCell ref="Y185:Z185"/>
    <mergeCell ref="K185:Q185"/>
    <mergeCell ref="R185:X185"/>
    <mergeCell ref="Q210:Z210"/>
    <mergeCell ref="C201:N201"/>
    <mergeCell ref="A247:S247"/>
    <mergeCell ref="A248:S248"/>
    <mergeCell ref="E256:O256"/>
    <mergeCell ref="R256:Y256"/>
    <mergeCell ref="B258:Z260"/>
    <mergeCell ref="A225:Z225"/>
    <mergeCell ref="A229:Z229"/>
    <mergeCell ref="A234:Z234"/>
    <mergeCell ref="A236:Z238"/>
    <mergeCell ref="E241:O241"/>
    <mergeCell ref="A253:S253"/>
    <mergeCell ref="C242:H242"/>
    <mergeCell ref="R241:Y241"/>
    <mergeCell ref="K166:Z166"/>
    <mergeCell ref="C175:I175"/>
    <mergeCell ref="K175:Z175"/>
    <mergeCell ref="K173:Z173"/>
    <mergeCell ref="C172:I172"/>
    <mergeCell ref="K172:Z172"/>
    <mergeCell ref="C166:I166"/>
    <mergeCell ref="C174:I174"/>
    <mergeCell ref="K174:Z174"/>
    <mergeCell ref="H149:J149"/>
    <mergeCell ref="K149:Z149"/>
    <mergeCell ref="C150:E150"/>
    <mergeCell ref="F150:G150"/>
    <mergeCell ref="K162:Z162"/>
    <mergeCell ref="K160:Z160"/>
    <mergeCell ref="C161:I161"/>
    <mergeCell ref="C157:I157"/>
    <mergeCell ref="H151:J151"/>
    <mergeCell ref="T117:X117"/>
    <mergeCell ref="T107:X107"/>
    <mergeCell ref="T109:X109"/>
    <mergeCell ref="T111:X111"/>
    <mergeCell ref="T113:X113"/>
    <mergeCell ref="C176:I176"/>
    <mergeCell ref="K176:Z176"/>
    <mergeCell ref="K186:Q186"/>
    <mergeCell ref="C178:I178"/>
    <mergeCell ref="K178:Z178"/>
    <mergeCell ref="C142:I142"/>
    <mergeCell ref="C140:I140"/>
    <mergeCell ref="K158:Z158"/>
    <mergeCell ref="C156:I156"/>
    <mergeCell ref="K157:Z157"/>
    <mergeCell ref="K156:Z156"/>
    <mergeCell ref="K140:Z140"/>
    <mergeCell ref="C148:E148"/>
    <mergeCell ref="F148:G148"/>
    <mergeCell ref="H148:J148"/>
    <mergeCell ref="C158:I158"/>
    <mergeCell ref="K148:Z148"/>
    <mergeCell ref="C149:E149"/>
    <mergeCell ref="F149:G149"/>
    <mergeCell ref="W53:Y53"/>
    <mergeCell ref="W54:Y54"/>
    <mergeCell ref="H74:J74"/>
    <mergeCell ref="R86:W88"/>
    <mergeCell ref="T67:X67"/>
    <mergeCell ref="T68:X68"/>
    <mergeCell ref="T70:X70"/>
    <mergeCell ref="N68:P68"/>
    <mergeCell ref="N78:P78"/>
    <mergeCell ref="T78:W78"/>
    <mergeCell ref="W57:Y57"/>
    <mergeCell ref="H76:J76"/>
    <mergeCell ref="N76:P76"/>
    <mergeCell ref="T76:W76"/>
    <mergeCell ref="H78:J78"/>
    <mergeCell ref="N74:P74"/>
    <mergeCell ref="T74:W74"/>
    <mergeCell ref="H84:J84"/>
    <mergeCell ref="H86:J86"/>
    <mergeCell ref="C66:Y66"/>
    <mergeCell ref="N67:P67"/>
    <mergeCell ref="N86:P86"/>
    <mergeCell ref="U2:Y2"/>
    <mergeCell ref="P3:R3"/>
    <mergeCell ref="S3:X3"/>
    <mergeCell ref="F10:P10"/>
    <mergeCell ref="F11:P11"/>
    <mergeCell ref="U11:Y11"/>
    <mergeCell ref="F8:P8"/>
    <mergeCell ref="U8:Y8"/>
    <mergeCell ref="F13:H13"/>
    <mergeCell ref="N13:P13"/>
    <mergeCell ref="U13:Y13"/>
    <mergeCell ref="U10:Y10"/>
    <mergeCell ref="S8:T8"/>
    <mergeCell ref="Q10:T10"/>
    <mergeCell ref="R11:T11"/>
    <mergeCell ref="R13:T13"/>
    <mergeCell ref="U5:Y5"/>
    <mergeCell ref="F15:H15"/>
    <mergeCell ref="N15:P15"/>
    <mergeCell ref="D22:F22"/>
    <mergeCell ref="G22:I22"/>
    <mergeCell ref="J22:L22"/>
    <mergeCell ref="M22:O22"/>
    <mergeCell ref="D19:F19"/>
    <mergeCell ref="G19:I19"/>
    <mergeCell ref="J19:L19"/>
    <mergeCell ref="M19:O19"/>
    <mergeCell ref="P19:Q19"/>
    <mergeCell ref="P22:Q22"/>
    <mergeCell ref="D21:F21"/>
    <mergeCell ref="G21:I21"/>
    <mergeCell ref="J21:L21"/>
    <mergeCell ref="M21:O21"/>
    <mergeCell ref="P21:Q21"/>
    <mergeCell ref="P23:Q23"/>
    <mergeCell ref="D24:F24"/>
    <mergeCell ref="G24:I24"/>
    <mergeCell ref="J24:L24"/>
    <mergeCell ref="M24:O24"/>
    <mergeCell ref="P24:Q24"/>
    <mergeCell ref="D23:F23"/>
    <mergeCell ref="G23:I23"/>
    <mergeCell ref="J23:L23"/>
    <mergeCell ref="M23:O23"/>
    <mergeCell ref="P25:Q25"/>
    <mergeCell ref="D26:F26"/>
    <mergeCell ref="G26:I26"/>
    <mergeCell ref="J26:L26"/>
    <mergeCell ref="M26:O26"/>
    <mergeCell ref="P26:Q26"/>
    <mergeCell ref="D25:F25"/>
    <mergeCell ref="G25:I25"/>
    <mergeCell ref="J25:L25"/>
    <mergeCell ref="M25:O25"/>
    <mergeCell ref="P27:Q27"/>
    <mergeCell ref="D28:F28"/>
    <mergeCell ref="G28:I28"/>
    <mergeCell ref="J28:L28"/>
    <mergeCell ref="M28:O28"/>
    <mergeCell ref="P28:Q28"/>
    <mergeCell ref="D27:F27"/>
    <mergeCell ref="G27:I27"/>
    <mergeCell ref="J27:L27"/>
    <mergeCell ref="M27:O27"/>
    <mergeCell ref="P29:Q29"/>
    <mergeCell ref="D30:F30"/>
    <mergeCell ref="G30:I30"/>
    <mergeCell ref="J30:L30"/>
    <mergeCell ref="M30:O30"/>
    <mergeCell ref="P30:Q30"/>
    <mergeCell ref="D29:F29"/>
    <mergeCell ref="G29:I29"/>
    <mergeCell ref="J29:L29"/>
    <mergeCell ref="M29:O29"/>
    <mergeCell ref="P31:Q31"/>
    <mergeCell ref="D32:F32"/>
    <mergeCell ref="G32:I32"/>
    <mergeCell ref="J32:L32"/>
    <mergeCell ref="M32:O32"/>
    <mergeCell ref="P32:Q32"/>
    <mergeCell ref="D31:F31"/>
    <mergeCell ref="G31:I31"/>
    <mergeCell ref="J31:L31"/>
    <mergeCell ref="M31:O31"/>
    <mergeCell ref="P33:Q33"/>
    <mergeCell ref="D34:F34"/>
    <mergeCell ref="G34:I34"/>
    <mergeCell ref="J34:L34"/>
    <mergeCell ref="M34:O34"/>
    <mergeCell ref="P34:Q34"/>
    <mergeCell ref="D33:F33"/>
    <mergeCell ref="G33:I33"/>
    <mergeCell ref="J33:L33"/>
    <mergeCell ref="M33:O33"/>
    <mergeCell ref="P35:Q35"/>
    <mergeCell ref="D36:F36"/>
    <mergeCell ref="G36:I36"/>
    <mergeCell ref="J36:L36"/>
    <mergeCell ref="M36:O36"/>
    <mergeCell ref="P36:Q36"/>
    <mergeCell ref="D35:F35"/>
    <mergeCell ref="G35:I35"/>
    <mergeCell ref="J35:L35"/>
    <mergeCell ref="M35:O35"/>
    <mergeCell ref="P37:Q37"/>
    <mergeCell ref="D38:F38"/>
    <mergeCell ref="G38:I38"/>
    <mergeCell ref="J38:L38"/>
    <mergeCell ref="M38:O38"/>
    <mergeCell ref="P38:Q38"/>
    <mergeCell ref="D37:F37"/>
    <mergeCell ref="G37:I37"/>
    <mergeCell ref="J37:L37"/>
    <mergeCell ref="M37:O37"/>
    <mergeCell ref="P39:Q39"/>
    <mergeCell ref="D40:F40"/>
    <mergeCell ref="G40:I40"/>
    <mergeCell ref="J40:L40"/>
    <mergeCell ref="M40:O40"/>
    <mergeCell ref="P40:Q40"/>
    <mergeCell ref="D39:F39"/>
    <mergeCell ref="G39:I39"/>
    <mergeCell ref="J39:L39"/>
    <mergeCell ref="M39:O39"/>
    <mergeCell ref="P41:Q41"/>
    <mergeCell ref="D42:F42"/>
    <mergeCell ref="G42:I42"/>
    <mergeCell ref="J42:L42"/>
    <mergeCell ref="M42:O42"/>
    <mergeCell ref="P42:Q42"/>
    <mergeCell ref="D41:F41"/>
    <mergeCell ref="G41:I41"/>
    <mergeCell ref="J41:L41"/>
    <mergeCell ref="M41:O41"/>
    <mergeCell ref="W50:Y50"/>
    <mergeCell ref="W51:Y51"/>
    <mergeCell ref="W52:Y52"/>
    <mergeCell ref="W55:Y55"/>
    <mergeCell ref="W56:Y56"/>
    <mergeCell ref="P43:Q43"/>
    <mergeCell ref="D44:F44"/>
    <mergeCell ref="G44:I44"/>
    <mergeCell ref="J44:L44"/>
    <mergeCell ref="M44:O44"/>
    <mergeCell ref="P44:Q44"/>
    <mergeCell ref="D43:F43"/>
    <mergeCell ref="G43:I43"/>
    <mergeCell ref="J43:L43"/>
    <mergeCell ref="M43:O43"/>
    <mergeCell ref="D56:U56"/>
    <mergeCell ref="D54:U54"/>
    <mergeCell ref="D55:U55"/>
    <mergeCell ref="D50:U50"/>
    <mergeCell ref="D51:U51"/>
    <mergeCell ref="D52:U52"/>
    <mergeCell ref="D53:U53"/>
    <mergeCell ref="D45:F45"/>
    <mergeCell ref="G45:I45"/>
    <mergeCell ref="J45:L45"/>
    <mergeCell ref="M45:O45"/>
    <mergeCell ref="D57:U57"/>
    <mergeCell ref="Y189:Z189"/>
    <mergeCell ref="C173:I173"/>
    <mergeCell ref="N80:P80"/>
    <mergeCell ref="T80:W80"/>
    <mergeCell ref="C136:I136"/>
    <mergeCell ref="H82:J82"/>
    <mergeCell ref="N82:P82"/>
    <mergeCell ref="T82:W82"/>
    <mergeCell ref="H80:J80"/>
    <mergeCell ref="C134:I134"/>
    <mergeCell ref="C135:I135"/>
    <mergeCell ref="N84:P84"/>
    <mergeCell ref="T84:W84"/>
    <mergeCell ref="K134:Z134"/>
    <mergeCell ref="E113:P113"/>
    <mergeCell ref="P45:Q45"/>
    <mergeCell ref="N65:P65"/>
    <mergeCell ref="T65:X65"/>
    <mergeCell ref="H88:J88"/>
    <mergeCell ref="N88:P88"/>
    <mergeCell ref="T101:X101"/>
    <mergeCell ref="Q201:Z201"/>
    <mergeCell ref="C206:N206"/>
    <mergeCell ref="K188:Q188"/>
    <mergeCell ref="Q206:Z206"/>
    <mergeCell ref="C199:N199"/>
    <mergeCell ref="C204:N204"/>
    <mergeCell ref="Q204:Z204"/>
    <mergeCell ref="Q207:Z207"/>
    <mergeCell ref="C191:I191"/>
    <mergeCell ref="R189:X189"/>
    <mergeCell ref="C200:N200"/>
    <mergeCell ref="Q200:Z200"/>
    <mergeCell ref="C202:N202"/>
    <mergeCell ref="Q202:Z202"/>
    <mergeCell ref="C198:N198"/>
    <mergeCell ref="C211:N211"/>
    <mergeCell ref="A249:S249"/>
    <mergeCell ref="A250:S250"/>
    <mergeCell ref="A251:S251"/>
    <mergeCell ref="A252:S252"/>
    <mergeCell ref="Y188:Z188"/>
    <mergeCell ref="C205:N205"/>
    <mergeCell ref="Q205:Z205"/>
    <mergeCell ref="C208:N208"/>
    <mergeCell ref="Q208:Z208"/>
    <mergeCell ref="C209:N209"/>
    <mergeCell ref="Q209:Z209"/>
    <mergeCell ref="C210:N210"/>
    <mergeCell ref="C207:N207"/>
    <mergeCell ref="C203:N203"/>
    <mergeCell ref="Q203:Z203"/>
    <mergeCell ref="Y191:Z191"/>
    <mergeCell ref="Y190:Z190"/>
    <mergeCell ref="K191:Q191"/>
    <mergeCell ref="R191:X191"/>
    <mergeCell ref="R188:X188"/>
    <mergeCell ref="C189:I189"/>
    <mergeCell ref="K189:Q189"/>
    <mergeCell ref="Q199:Z199"/>
    <mergeCell ref="T103:X103"/>
    <mergeCell ref="Q198:Z198"/>
    <mergeCell ref="K133:Z133"/>
    <mergeCell ref="C137:I137"/>
    <mergeCell ref="C138:I138"/>
    <mergeCell ref="R186:X186"/>
    <mergeCell ref="K138:Z138"/>
    <mergeCell ref="C91:Z95"/>
    <mergeCell ref="T105:X105"/>
    <mergeCell ref="T115:X115"/>
    <mergeCell ref="R97:S97"/>
    <mergeCell ref="C133:I133"/>
    <mergeCell ref="K135:Z135"/>
    <mergeCell ref="C139:I139"/>
    <mergeCell ref="K139:Z139"/>
    <mergeCell ref="K137:Z137"/>
    <mergeCell ref="K136:Z136"/>
    <mergeCell ref="K142:Z142"/>
    <mergeCell ref="B123:Z125"/>
    <mergeCell ref="B127:Z127"/>
    <mergeCell ref="H150:J150"/>
    <mergeCell ref="K150:Z150"/>
    <mergeCell ref="C151:E151"/>
    <mergeCell ref="F151:G151"/>
  </mergeCells>
  <phoneticPr fontId="0" type="noConversion"/>
  <conditionalFormatting sqref="C29:C45">
    <cfRule type="cellIs" dxfId="88" priority="30" stopIfTrue="1" operator="equal">
      <formula>0</formula>
    </cfRule>
  </conditionalFormatting>
  <conditionalFormatting sqref="P29:Q45">
    <cfRule type="cellIs" dxfId="87" priority="28" stopIfTrue="1" operator="lessThan">
      <formula>0.01</formula>
    </cfRule>
  </conditionalFormatting>
  <conditionalFormatting sqref="Z21:Z45">
    <cfRule type="cellIs" dxfId="86" priority="20" stopIfTrue="1" operator="equal">
      <formula>2499</formula>
    </cfRule>
  </conditionalFormatting>
  <conditionalFormatting sqref="C28">
    <cfRule type="cellIs" dxfId="85" priority="14" stopIfTrue="1" operator="equal">
      <formula>0</formula>
    </cfRule>
  </conditionalFormatting>
  <conditionalFormatting sqref="P28:Q28">
    <cfRule type="cellIs" dxfId="84" priority="13" stopIfTrue="1" operator="lessThan">
      <formula>0.01</formula>
    </cfRule>
  </conditionalFormatting>
  <conditionalFormatting sqref="C27">
    <cfRule type="cellIs" dxfId="83" priority="12" stopIfTrue="1" operator="equal">
      <formula>0</formula>
    </cfRule>
  </conditionalFormatting>
  <conditionalFormatting sqref="P27:Q27">
    <cfRule type="cellIs" dxfId="82" priority="11" stopIfTrue="1" operator="lessThan">
      <formula>0.01</formula>
    </cfRule>
  </conditionalFormatting>
  <conditionalFormatting sqref="C22:C26">
    <cfRule type="cellIs" dxfId="81" priority="4" stopIfTrue="1" operator="equal">
      <formula>0</formula>
    </cfRule>
  </conditionalFormatting>
  <conditionalFormatting sqref="P22:Q26">
    <cfRule type="cellIs" dxfId="80" priority="3" stopIfTrue="1" operator="lessThan">
      <formula>0.01</formula>
    </cfRule>
  </conditionalFormatting>
  <conditionalFormatting sqref="C21">
    <cfRule type="cellIs" dxfId="79" priority="2" stopIfTrue="1" operator="equal">
      <formula>0</formula>
    </cfRule>
  </conditionalFormatting>
  <conditionalFormatting sqref="P21:Q21">
    <cfRule type="cellIs" dxfId="78" priority="1" stopIfTrue="1" operator="lessThan">
      <formula>0.01</formula>
    </cfRule>
  </conditionalFormatting>
  <pageMargins left="1" right="0" top="0" bottom="0" header="0.5" footer="0.5"/>
  <pageSetup scale="62" orientation="portrait" r:id="rId1"/>
  <headerFooter alignWithMargins="0"/>
  <rowBreaks count="3" manualBreakCount="3">
    <brk id="58" max="26" man="1"/>
    <brk id="129" max="26" man="1"/>
    <brk id="217"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A327"/>
  <sheetViews>
    <sheetView zoomScaleNormal="100" workbookViewId="0">
      <selection activeCell="F8" sqref="F8:P8"/>
    </sheetView>
  </sheetViews>
  <sheetFormatPr defaultRowHeight="12.75"/>
  <cols>
    <col min="1" max="1" width="1.5703125" style="244" customWidth="1"/>
    <col min="2" max="2" width="3.5703125" style="628" customWidth="1"/>
    <col min="3" max="3" width="7.140625" style="628" customWidth="1"/>
    <col min="4" max="4" width="1.28515625" style="628" customWidth="1"/>
    <col min="5" max="6" width="6.140625" style="628" customWidth="1"/>
    <col min="7" max="7" width="5.7109375" style="628" customWidth="1"/>
    <col min="8" max="8" width="5" style="628" customWidth="1"/>
    <col min="9" max="9" width="4.85546875" style="628" customWidth="1"/>
    <col min="10" max="10" width="5.5703125" style="628" customWidth="1"/>
    <col min="11" max="11" width="4.85546875" style="628" customWidth="1"/>
    <col min="12" max="12" width="5.5703125" style="628" customWidth="1"/>
    <col min="13" max="13" width="2.28515625" style="628" customWidth="1"/>
    <col min="14" max="14" width="5.7109375" style="628" customWidth="1"/>
    <col min="15" max="15" width="8.28515625" style="628" customWidth="1"/>
    <col min="16" max="16" width="5.7109375" style="628" customWidth="1"/>
    <col min="17" max="19" width="6.28515625" style="628" customWidth="1"/>
    <col min="20" max="20" width="0.42578125" style="628" customWidth="1"/>
    <col min="21" max="21" width="5.42578125" style="628" customWidth="1"/>
    <col min="22" max="24" width="5.28515625" style="628" customWidth="1"/>
    <col min="25" max="25" width="9" style="628" customWidth="1"/>
    <col min="26" max="26" width="0.140625" style="628" customWidth="1"/>
    <col min="27" max="27" width="6.85546875" style="628" hidden="1" customWidth="1"/>
    <col min="28" max="28" width="1.5703125" style="629" customWidth="1"/>
    <col min="29" max="29" width="136.140625" style="630" customWidth="1"/>
    <col min="30" max="31" width="12.85546875" style="630" customWidth="1"/>
    <col min="32" max="32" width="8.140625" style="630" customWidth="1"/>
    <col min="33" max="33" width="22.140625" style="631" customWidth="1"/>
    <col min="34" max="39" width="10.42578125" style="632" customWidth="1"/>
    <col min="40" max="55" width="9.140625" style="631"/>
    <col min="56" max="134" width="9.140625" style="633"/>
    <col min="135" max="135" width="10.140625" style="633" bestFit="1" customWidth="1"/>
    <col min="136" max="138" width="9.140625" style="633"/>
    <col min="139" max="139" width="20" style="633" customWidth="1"/>
    <col min="140" max="144" width="9.140625" style="633"/>
    <col min="145" max="153" width="9.140625" style="630"/>
    <col min="154" max="256" width="9.140625" style="628"/>
    <col min="257" max="257" width="1.5703125" style="628" customWidth="1"/>
    <col min="258" max="258" width="3.5703125" style="628" customWidth="1"/>
    <col min="259" max="259" width="7.140625" style="628" customWidth="1"/>
    <col min="260" max="260" width="1.28515625" style="628" customWidth="1"/>
    <col min="261" max="262" width="6.140625" style="628" customWidth="1"/>
    <col min="263" max="263" width="5.7109375" style="628" customWidth="1"/>
    <col min="264" max="264" width="5" style="628" customWidth="1"/>
    <col min="265" max="265" width="4.85546875" style="628" customWidth="1"/>
    <col min="266" max="266" width="5.5703125" style="628" customWidth="1"/>
    <col min="267" max="267" width="4.85546875" style="628" customWidth="1"/>
    <col min="268" max="268" width="5.5703125" style="628" customWidth="1"/>
    <col min="269" max="269" width="2.28515625" style="628" customWidth="1"/>
    <col min="270" max="270" width="5.7109375" style="628" customWidth="1"/>
    <col min="271" max="271" width="8.28515625" style="628" customWidth="1"/>
    <col min="272" max="272" width="5.7109375" style="628" customWidth="1"/>
    <col min="273" max="275" width="6.28515625" style="628" customWidth="1"/>
    <col min="276" max="276" width="0.42578125" style="628" customWidth="1"/>
    <col min="277" max="277" width="5.42578125" style="628" customWidth="1"/>
    <col min="278" max="278" width="5.140625" style="628" customWidth="1"/>
    <col min="279" max="279" width="5.7109375" style="628" customWidth="1"/>
    <col min="280" max="280" width="5.42578125" style="628" customWidth="1"/>
    <col min="281" max="281" width="9" style="628" customWidth="1"/>
    <col min="282" max="282" width="0.140625" style="628" customWidth="1"/>
    <col min="283" max="283" width="0" style="628" hidden="1" customWidth="1"/>
    <col min="284" max="284" width="1.5703125" style="628" customWidth="1"/>
    <col min="285" max="285" width="93.140625" style="628" customWidth="1"/>
    <col min="286" max="287" width="12.85546875" style="628" customWidth="1"/>
    <col min="288" max="288" width="8.140625" style="628" customWidth="1"/>
    <col min="289" max="289" width="22.140625" style="628" customWidth="1"/>
    <col min="290" max="295" width="10.42578125" style="628" customWidth="1"/>
    <col min="296" max="390" width="9.140625" style="628"/>
    <col min="391" max="391" width="10.140625" style="628" bestFit="1" customWidth="1"/>
    <col min="392" max="394" width="9.140625" style="628"/>
    <col min="395" max="395" width="20" style="628" customWidth="1"/>
    <col min="396" max="512" width="9.140625" style="628"/>
    <col min="513" max="513" width="1.5703125" style="628" customWidth="1"/>
    <col min="514" max="514" width="3.5703125" style="628" customWidth="1"/>
    <col min="515" max="515" width="7.140625" style="628" customWidth="1"/>
    <col min="516" max="516" width="1.28515625" style="628" customWidth="1"/>
    <col min="517" max="518" width="6.140625" style="628" customWidth="1"/>
    <col min="519" max="519" width="5.7109375" style="628" customWidth="1"/>
    <col min="520" max="520" width="5" style="628" customWidth="1"/>
    <col min="521" max="521" width="4.85546875" style="628" customWidth="1"/>
    <col min="522" max="522" width="5.5703125" style="628" customWidth="1"/>
    <col min="523" max="523" width="4.85546875" style="628" customWidth="1"/>
    <col min="524" max="524" width="5.5703125" style="628" customWidth="1"/>
    <col min="525" max="525" width="2.28515625" style="628" customWidth="1"/>
    <col min="526" max="526" width="5.7109375" style="628" customWidth="1"/>
    <col min="527" max="527" width="8.28515625" style="628" customWidth="1"/>
    <col min="528" max="528" width="5.7109375" style="628" customWidth="1"/>
    <col min="529" max="531" width="6.28515625" style="628" customWidth="1"/>
    <col min="532" max="532" width="0.42578125" style="628" customWidth="1"/>
    <col min="533" max="533" width="5.42578125" style="628" customWidth="1"/>
    <col min="534" max="534" width="5.140625" style="628" customWidth="1"/>
    <col min="535" max="535" width="5.7109375" style="628" customWidth="1"/>
    <col min="536" max="536" width="5.42578125" style="628" customWidth="1"/>
    <col min="537" max="537" width="9" style="628" customWidth="1"/>
    <col min="538" max="538" width="0.140625" style="628" customWidth="1"/>
    <col min="539" max="539" width="0" style="628" hidden="1" customWidth="1"/>
    <col min="540" max="540" width="1.5703125" style="628" customWidth="1"/>
    <col min="541" max="541" width="93.140625" style="628" customWidth="1"/>
    <col min="542" max="543" width="12.85546875" style="628" customWidth="1"/>
    <col min="544" max="544" width="8.140625" style="628" customWidth="1"/>
    <col min="545" max="545" width="22.140625" style="628" customWidth="1"/>
    <col min="546" max="551" width="10.42578125" style="628" customWidth="1"/>
    <col min="552" max="646" width="9.140625" style="628"/>
    <col min="647" max="647" width="10.140625" style="628" bestFit="1" customWidth="1"/>
    <col min="648" max="650" width="9.140625" style="628"/>
    <col min="651" max="651" width="20" style="628" customWidth="1"/>
    <col min="652" max="768" width="9.140625" style="628"/>
    <col min="769" max="769" width="1.5703125" style="628" customWidth="1"/>
    <col min="770" max="770" width="3.5703125" style="628" customWidth="1"/>
    <col min="771" max="771" width="7.140625" style="628" customWidth="1"/>
    <col min="772" max="772" width="1.28515625" style="628" customWidth="1"/>
    <col min="773" max="774" width="6.140625" style="628" customWidth="1"/>
    <col min="775" max="775" width="5.7109375" style="628" customWidth="1"/>
    <col min="776" max="776" width="5" style="628" customWidth="1"/>
    <col min="777" max="777" width="4.85546875" style="628" customWidth="1"/>
    <col min="778" max="778" width="5.5703125" style="628" customWidth="1"/>
    <col min="779" max="779" width="4.85546875" style="628" customWidth="1"/>
    <col min="780" max="780" width="5.5703125" style="628" customWidth="1"/>
    <col min="781" max="781" width="2.28515625" style="628" customWidth="1"/>
    <col min="782" max="782" width="5.7109375" style="628" customWidth="1"/>
    <col min="783" max="783" width="8.28515625" style="628" customWidth="1"/>
    <col min="784" max="784" width="5.7109375" style="628" customWidth="1"/>
    <col min="785" max="787" width="6.28515625" style="628" customWidth="1"/>
    <col min="788" max="788" width="0.42578125" style="628" customWidth="1"/>
    <col min="789" max="789" width="5.42578125" style="628" customWidth="1"/>
    <col min="790" max="790" width="5.140625" style="628" customWidth="1"/>
    <col min="791" max="791" width="5.7109375" style="628" customWidth="1"/>
    <col min="792" max="792" width="5.42578125" style="628" customWidth="1"/>
    <col min="793" max="793" width="9" style="628" customWidth="1"/>
    <col min="794" max="794" width="0.140625" style="628" customWidth="1"/>
    <col min="795" max="795" width="0" style="628" hidden="1" customWidth="1"/>
    <col min="796" max="796" width="1.5703125" style="628" customWidth="1"/>
    <col min="797" max="797" width="93.140625" style="628" customWidth="1"/>
    <col min="798" max="799" width="12.85546875" style="628" customWidth="1"/>
    <col min="800" max="800" width="8.140625" style="628" customWidth="1"/>
    <col min="801" max="801" width="22.140625" style="628" customWidth="1"/>
    <col min="802" max="807" width="10.42578125" style="628" customWidth="1"/>
    <col min="808" max="902" width="9.140625" style="628"/>
    <col min="903" max="903" width="10.140625" style="628" bestFit="1" customWidth="1"/>
    <col min="904" max="906" width="9.140625" style="628"/>
    <col min="907" max="907" width="20" style="628" customWidth="1"/>
    <col min="908" max="1024" width="9.140625" style="628"/>
    <col min="1025" max="1025" width="1.5703125" style="628" customWidth="1"/>
    <col min="1026" max="1026" width="3.5703125" style="628" customWidth="1"/>
    <col min="1027" max="1027" width="7.140625" style="628" customWidth="1"/>
    <col min="1028" max="1028" width="1.28515625" style="628" customWidth="1"/>
    <col min="1029" max="1030" width="6.140625" style="628" customWidth="1"/>
    <col min="1031" max="1031" width="5.7109375" style="628" customWidth="1"/>
    <col min="1032" max="1032" width="5" style="628" customWidth="1"/>
    <col min="1033" max="1033" width="4.85546875" style="628" customWidth="1"/>
    <col min="1034" max="1034" width="5.5703125" style="628" customWidth="1"/>
    <col min="1035" max="1035" width="4.85546875" style="628" customWidth="1"/>
    <col min="1036" max="1036" width="5.5703125" style="628" customWidth="1"/>
    <col min="1037" max="1037" width="2.28515625" style="628" customWidth="1"/>
    <col min="1038" max="1038" width="5.7109375" style="628" customWidth="1"/>
    <col min="1039" max="1039" width="8.28515625" style="628" customWidth="1"/>
    <col min="1040" max="1040" width="5.7109375" style="628" customWidth="1"/>
    <col min="1041" max="1043" width="6.28515625" style="628" customWidth="1"/>
    <col min="1044" max="1044" width="0.42578125" style="628" customWidth="1"/>
    <col min="1045" max="1045" width="5.42578125" style="628" customWidth="1"/>
    <col min="1046" max="1046" width="5.140625" style="628" customWidth="1"/>
    <col min="1047" max="1047" width="5.7109375" style="628" customWidth="1"/>
    <col min="1048" max="1048" width="5.42578125" style="628" customWidth="1"/>
    <col min="1049" max="1049" width="9" style="628" customWidth="1"/>
    <col min="1050" max="1050" width="0.140625" style="628" customWidth="1"/>
    <col min="1051" max="1051" width="0" style="628" hidden="1" customWidth="1"/>
    <col min="1052" max="1052" width="1.5703125" style="628" customWidth="1"/>
    <col min="1053" max="1053" width="93.140625" style="628" customWidth="1"/>
    <col min="1054" max="1055" width="12.85546875" style="628" customWidth="1"/>
    <col min="1056" max="1056" width="8.140625" style="628" customWidth="1"/>
    <col min="1057" max="1057" width="22.140625" style="628" customWidth="1"/>
    <col min="1058" max="1063" width="10.42578125" style="628" customWidth="1"/>
    <col min="1064" max="1158" width="9.140625" style="628"/>
    <col min="1159" max="1159" width="10.140625" style="628" bestFit="1" customWidth="1"/>
    <col min="1160" max="1162" width="9.140625" style="628"/>
    <col min="1163" max="1163" width="20" style="628" customWidth="1"/>
    <col min="1164" max="1280" width="9.140625" style="628"/>
    <col min="1281" max="1281" width="1.5703125" style="628" customWidth="1"/>
    <col min="1282" max="1282" width="3.5703125" style="628" customWidth="1"/>
    <col min="1283" max="1283" width="7.140625" style="628" customWidth="1"/>
    <col min="1284" max="1284" width="1.28515625" style="628" customWidth="1"/>
    <col min="1285" max="1286" width="6.140625" style="628" customWidth="1"/>
    <col min="1287" max="1287" width="5.7109375" style="628" customWidth="1"/>
    <col min="1288" max="1288" width="5" style="628" customWidth="1"/>
    <col min="1289" max="1289" width="4.85546875" style="628" customWidth="1"/>
    <col min="1290" max="1290" width="5.5703125" style="628" customWidth="1"/>
    <col min="1291" max="1291" width="4.85546875" style="628" customWidth="1"/>
    <col min="1292" max="1292" width="5.5703125" style="628" customWidth="1"/>
    <col min="1293" max="1293" width="2.28515625" style="628" customWidth="1"/>
    <col min="1294" max="1294" width="5.7109375" style="628" customWidth="1"/>
    <col min="1295" max="1295" width="8.28515625" style="628" customWidth="1"/>
    <col min="1296" max="1296" width="5.7109375" style="628" customWidth="1"/>
    <col min="1297" max="1299" width="6.28515625" style="628" customWidth="1"/>
    <col min="1300" max="1300" width="0.42578125" style="628" customWidth="1"/>
    <col min="1301" max="1301" width="5.42578125" style="628" customWidth="1"/>
    <col min="1302" max="1302" width="5.140625" style="628" customWidth="1"/>
    <col min="1303" max="1303" width="5.7109375" style="628" customWidth="1"/>
    <col min="1304" max="1304" width="5.42578125" style="628" customWidth="1"/>
    <col min="1305" max="1305" width="9" style="628" customWidth="1"/>
    <col min="1306" max="1306" width="0.140625" style="628" customWidth="1"/>
    <col min="1307" max="1307" width="0" style="628" hidden="1" customWidth="1"/>
    <col min="1308" max="1308" width="1.5703125" style="628" customWidth="1"/>
    <col min="1309" max="1309" width="93.140625" style="628" customWidth="1"/>
    <col min="1310" max="1311" width="12.85546875" style="628" customWidth="1"/>
    <col min="1312" max="1312" width="8.140625" style="628" customWidth="1"/>
    <col min="1313" max="1313" width="22.140625" style="628" customWidth="1"/>
    <col min="1314" max="1319" width="10.42578125" style="628" customWidth="1"/>
    <col min="1320" max="1414" width="9.140625" style="628"/>
    <col min="1415" max="1415" width="10.140625" style="628" bestFit="1" customWidth="1"/>
    <col min="1416" max="1418" width="9.140625" style="628"/>
    <col min="1419" max="1419" width="20" style="628" customWidth="1"/>
    <col min="1420" max="1536" width="9.140625" style="628"/>
    <col min="1537" max="1537" width="1.5703125" style="628" customWidth="1"/>
    <col min="1538" max="1538" width="3.5703125" style="628" customWidth="1"/>
    <col min="1539" max="1539" width="7.140625" style="628" customWidth="1"/>
    <col min="1540" max="1540" width="1.28515625" style="628" customWidth="1"/>
    <col min="1541" max="1542" width="6.140625" style="628" customWidth="1"/>
    <col min="1543" max="1543" width="5.7109375" style="628" customWidth="1"/>
    <col min="1544" max="1544" width="5" style="628" customWidth="1"/>
    <col min="1545" max="1545" width="4.85546875" style="628" customWidth="1"/>
    <col min="1546" max="1546" width="5.5703125" style="628" customWidth="1"/>
    <col min="1547" max="1547" width="4.85546875" style="628" customWidth="1"/>
    <col min="1548" max="1548" width="5.5703125" style="628" customWidth="1"/>
    <col min="1549" max="1549" width="2.28515625" style="628" customWidth="1"/>
    <col min="1550" max="1550" width="5.7109375" style="628" customWidth="1"/>
    <col min="1551" max="1551" width="8.28515625" style="628" customWidth="1"/>
    <col min="1552" max="1552" width="5.7109375" style="628" customWidth="1"/>
    <col min="1553" max="1555" width="6.28515625" style="628" customWidth="1"/>
    <col min="1556" max="1556" width="0.42578125" style="628" customWidth="1"/>
    <col min="1557" max="1557" width="5.42578125" style="628" customWidth="1"/>
    <col min="1558" max="1558" width="5.140625" style="628" customWidth="1"/>
    <col min="1559" max="1559" width="5.7109375" style="628" customWidth="1"/>
    <col min="1560" max="1560" width="5.42578125" style="628" customWidth="1"/>
    <col min="1561" max="1561" width="9" style="628" customWidth="1"/>
    <col min="1562" max="1562" width="0.140625" style="628" customWidth="1"/>
    <col min="1563" max="1563" width="0" style="628" hidden="1" customWidth="1"/>
    <col min="1564" max="1564" width="1.5703125" style="628" customWidth="1"/>
    <col min="1565" max="1565" width="93.140625" style="628" customWidth="1"/>
    <col min="1566" max="1567" width="12.85546875" style="628" customWidth="1"/>
    <col min="1568" max="1568" width="8.140625" style="628" customWidth="1"/>
    <col min="1569" max="1569" width="22.140625" style="628" customWidth="1"/>
    <col min="1570" max="1575" width="10.42578125" style="628" customWidth="1"/>
    <col min="1576" max="1670" width="9.140625" style="628"/>
    <col min="1671" max="1671" width="10.140625" style="628" bestFit="1" customWidth="1"/>
    <col min="1672" max="1674" width="9.140625" style="628"/>
    <col min="1675" max="1675" width="20" style="628" customWidth="1"/>
    <col min="1676" max="1792" width="9.140625" style="628"/>
    <col min="1793" max="1793" width="1.5703125" style="628" customWidth="1"/>
    <col min="1794" max="1794" width="3.5703125" style="628" customWidth="1"/>
    <col min="1795" max="1795" width="7.140625" style="628" customWidth="1"/>
    <col min="1796" max="1796" width="1.28515625" style="628" customWidth="1"/>
    <col min="1797" max="1798" width="6.140625" style="628" customWidth="1"/>
    <col min="1799" max="1799" width="5.7109375" style="628" customWidth="1"/>
    <col min="1800" max="1800" width="5" style="628" customWidth="1"/>
    <col min="1801" max="1801" width="4.85546875" style="628" customWidth="1"/>
    <col min="1802" max="1802" width="5.5703125" style="628" customWidth="1"/>
    <col min="1803" max="1803" width="4.85546875" style="628" customWidth="1"/>
    <col min="1804" max="1804" width="5.5703125" style="628" customWidth="1"/>
    <col min="1805" max="1805" width="2.28515625" style="628" customWidth="1"/>
    <col min="1806" max="1806" width="5.7109375" style="628" customWidth="1"/>
    <col min="1807" max="1807" width="8.28515625" style="628" customWidth="1"/>
    <col min="1808" max="1808" width="5.7109375" style="628" customWidth="1"/>
    <col min="1809" max="1811" width="6.28515625" style="628" customWidth="1"/>
    <col min="1812" max="1812" width="0.42578125" style="628" customWidth="1"/>
    <col min="1813" max="1813" width="5.42578125" style="628" customWidth="1"/>
    <col min="1814" max="1814" width="5.140625" style="628" customWidth="1"/>
    <col min="1815" max="1815" width="5.7109375" style="628" customWidth="1"/>
    <col min="1816" max="1816" width="5.42578125" style="628" customWidth="1"/>
    <col min="1817" max="1817" width="9" style="628" customWidth="1"/>
    <col min="1818" max="1818" width="0.140625" style="628" customWidth="1"/>
    <col min="1819" max="1819" width="0" style="628" hidden="1" customWidth="1"/>
    <col min="1820" max="1820" width="1.5703125" style="628" customWidth="1"/>
    <col min="1821" max="1821" width="93.140625" style="628" customWidth="1"/>
    <col min="1822" max="1823" width="12.85546875" style="628" customWidth="1"/>
    <col min="1824" max="1824" width="8.140625" style="628" customWidth="1"/>
    <col min="1825" max="1825" width="22.140625" style="628" customWidth="1"/>
    <col min="1826" max="1831" width="10.42578125" style="628" customWidth="1"/>
    <col min="1832" max="1926" width="9.140625" style="628"/>
    <col min="1927" max="1927" width="10.140625" style="628" bestFit="1" customWidth="1"/>
    <col min="1928" max="1930" width="9.140625" style="628"/>
    <col min="1931" max="1931" width="20" style="628" customWidth="1"/>
    <col min="1932" max="2048" width="9.140625" style="628"/>
    <col min="2049" max="2049" width="1.5703125" style="628" customWidth="1"/>
    <col min="2050" max="2050" width="3.5703125" style="628" customWidth="1"/>
    <col min="2051" max="2051" width="7.140625" style="628" customWidth="1"/>
    <col min="2052" max="2052" width="1.28515625" style="628" customWidth="1"/>
    <col min="2053" max="2054" width="6.140625" style="628" customWidth="1"/>
    <col min="2055" max="2055" width="5.7109375" style="628" customWidth="1"/>
    <col min="2056" max="2056" width="5" style="628" customWidth="1"/>
    <col min="2057" max="2057" width="4.85546875" style="628" customWidth="1"/>
    <col min="2058" max="2058" width="5.5703125" style="628" customWidth="1"/>
    <col min="2059" max="2059" width="4.85546875" style="628" customWidth="1"/>
    <col min="2060" max="2060" width="5.5703125" style="628" customWidth="1"/>
    <col min="2061" max="2061" width="2.28515625" style="628" customWidth="1"/>
    <col min="2062" max="2062" width="5.7109375" style="628" customWidth="1"/>
    <col min="2063" max="2063" width="8.28515625" style="628" customWidth="1"/>
    <col min="2064" max="2064" width="5.7109375" style="628" customWidth="1"/>
    <col min="2065" max="2067" width="6.28515625" style="628" customWidth="1"/>
    <col min="2068" max="2068" width="0.42578125" style="628" customWidth="1"/>
    <col min="2069" max="2069" width="5.42578125" style="628" customWidth="1"/>
    <col min="2070" max="2070" width="5.140625" style="628" customWidth="1"/>
    <col min="2071" max="2071" width="5.7109375" style="628" customWidth="1"/>
    <col min="2072" max="2072" width="5.42578125" style="628" customWidth="1"/>
    <col min="2073" max="2073" width="9" style="628" customWidth="1"/>
    <col min="2074" max="2074" width="0.140625" style="628" customWidth="1"/>
    <col min="2075" max="2075" width="0" style="628" hidden="1" customWidth="1"/>
    <col min="2076" max="2076" width="1.5703125" style="628" customWidth="1"/>
    <col min="2077" max="2077" width="93.140625" style="628" customWidth="1"/>
    <col min="2078" max="2079" width="12.85546875" style="628" customWidth="1"/>
    <col min="2080" max="2080" width="8.140625" style="628" customWidth="1"/>
    <col min="2081" max="2081" width="22.140625" style="628" customWidth="1"/>
    <col min="2082" max="2087" width="10.42578125" style="628" customWidth="1"/>
    <col min="2088" max="2182" width="9.140625" style="628"/>
    <col min="2183" max="2183" width="10.140625" style="628" bestFit="1" customWidth="1"/>
    <col min="2184" max="2186" width="9.140625" style="628"/>
    <col min="2187" max="2187" width="20" style="628" customWidth="1"/>
    <col min="2188" max="2304" width="9.140625" style="628"/>
    <col min="2305" max="2305" width="1.5703125" style="628" customWidth="1"/>
    <col min="2306" max="2306" width="3.5703125" style="628" customWidth="1"/>
    <col min="2307" max="2307" width="7.140625" style="628" customWidth="1"/>
    <col min="2308" max="2308" width="1.28515625" style="628" customWidth="1"/>
    <col min="2309" max="2310" width="6.140625" style="628" customWidth="1"/>
    <col min="2311" max="2311" width="5.7109375" style="628" customWidth="1"/>
    <col min="2312" max="2312" width="5" style="628" customWidth="1"/>
    <col min="2313" max="2313" width="4.85546875" style="628" customWidth="1"/>
    <col min="2314" max="2314" width="5.5703125" style="628" customWidth="1"/>
    <col min="2315" max="2315" width="4.85546875" style="628" customWidth="1"/>
    <col min="2316" max="2316" width="5.5703125" style="628" customWidth="1"/>
    <col min="2317" max="2317" width="2.28515625" style="628" customWidth="1"/>
    <col min="2318" max="2318" width="5.7109375" style="628" customWidth="1"/>
    <col min="2319" max="2319" width="8.28515625" style="628" customWidth="1"/>
    <col min="2320" max="2320" width="5.7109375" style="628" customWidth="1"/>
    <col min="2321" max="2323" width="6.28515625" style="628" customWidth="1"/>
    <col min="2324" max="2324" width="0.42578125" style="628" customWidth="1"/>
    <col min="2325" max="2325" width="5.42578125" style="628" customWidth="1"/>
    <col min="2326" max="2326" width="5.140625" style="628" customWidth="1"/>
    <col min="2327" max="2327" width="5.7109375" style="628" customWidth="1"/>
    <col min="2328" max="2328" width="5.42578125" style="628" customWidth="1"/>
    <col min="2329" max="2329" width="9" style="628" customWidth="1"/>
    <col min="2330" max="2330" width="0.140625" style="628" customWidth="1"/>
    <col min="2331" max="2331" width="0" style="628" hidden="1" customWidth="1"/>
    <col min="2332" max="2332" width="1.5703125" style="628" customWidth="1"/>
    <col min="2333" max="2333" width="93.140625" style="628" customWidth="1"/>
    <col min="2334" max="2335" width="12.85546875" style="628" customWidth="1"/>
    <col min="2336" max="2336" width="8.140625" style="628" customWidth="1"/>
    <col min="2337" max="2337" width="22.140625" style="628" customWidth="1"/>
    <col min="2338" max="2343" width="10.42578125" style="628" customWidth="1"/>
    <col min="2344" max="2438" width="9.140625" style="628"/>
    <col min="2439" max="2439" width="10.140625" style="628" bestFit="1" customWidth="1"/>
    <col min="2440" max="2442" width="9.140625" style="628"/>
    <col min="2443" max="2443" width="20" style="628" customWidth="1"/>
    <col min="2444" max="2560" width="9.140625" style="628"/>
    <col min="2561" max="2561" width="1.5703125" style="628" customWidth="1"/>
    <col min="2562" max="2562" width="3.5703125" style="628" customWidth="1"/>
    <col min="2563" max="2563" width="7.140625" style="628" customWidth="1"/>
    <col min="2564" max="2564" width="1.28515625" style="628" customWidth="1"/>
    <col min="2565" max="2566" width="6.140625" style="628" customWidth="1"/>
    <col min="2567" max="2567" width="5.7109375" style="628" customWidth="1"/>
    <col min="2568" max="2568" width="5" style="628" customWidth="1"/>
    <col min="2569" max="2569" width="4.85546875" style="628" customWidth="1"/>
    <col min="2570" max="2570" width="5.5703125" style="628" customWidth="1"/>
    <col min="2571" max="2571" width="4.85546875" style="628" customWidth="1"/>
    <col min="2572" max="2572" width="5.5703125" style="628" customWidth="1"/>
    <col min="2573" max="2573" width="2.28515625" style="628" customWidth="1"/>
    <col min="2574" max="2574" width="5.7109375" style="628" customWidth="1"/>
    <col min="2575" max="2575" width="8.28515625" style="628" customWidth="1"/>
    <col min="2576" max="2576" width="5.7109375" style="628" customWidth="1"/>
    <col min="2577" max="2579" width="6.28515625" style="628" customWidth="1"/>
    <col min="2580" max="2580" width="0.42578125" style="628" customWidth="1"/>
    <col min="2581" max="2581" width="5.42578125" style="628" customWidth="1"/>
    <col min="2582" max="2582" width="5.140625" style="628" customWidth="1"/>
    <col min="2583" max="2583" width="5.7109375" style="628" customWidth="1"/>
    <col min="2584" max="2584" width="5.42578125" style="628" customWidth="1"/>
    <col min="2585" max="2585" width="9" style="628" customWidth="1"/>
    <col min="2586" max="2586" width="0.140625" style="628" customWidth="1"/>
    <col min="2587" max="2587" width="0" style="628" hidden="1" customWidth="1"/>
    <col min="2588" max="2588" width="1.5703125" style="628" customWidth="1"/>
    <col min="2589" max="2589" width="93.140625" style="628" customWidth="1"/>
    <col min="2590" max="2591" width="12.85546875" style="628" customWidth="1"/>
    <col min="2592" max="2592" width="8.140625" style="628" customWidth="1"/>
    <col min="2593" max="2593" width="22.140625" style="628" customWidth="1"/>
    <col min="2594" max="2599" width="10.42578125" style="628" customWidth="1"/>
    <col min="2600" max="2694" width="9.140625" style="628"/>
    <col min="2695" max="2695" width="10.140625" style="628" bestFit="1" customWidth="1"/>
    <col min="2696" max="2698" width="9.140625" style="628"/>
    <col min="2699" max="2699" width="20" style="628" customWidth="1"/>
    <col min="2700" max="2816" width="9.140625" style="628"/>
    <col min="2817" max="2817" width="1.5703125" style="628" customWidth="1"/>
    <col min="2818" max="2818" width="3.5703125" style="628" customWidth="1"/>
    <col min="2819" max="2819" width="7.140625" style="628" customWidth="1"/>
    <col min="2820" max="2820" width="1.28515625" style="628" customWidth="1"/>
    <col min="2821" max="2822" width="6.140625" style="628" customWidth="1"/>
    <col min="2823" max="2823" width="5.7109375" style="628" customWidth="1"/>
    <col min="2824" max="2824" width="5" style="628" customWidth="1"/>
    <col min="2825" max="2825" width="4.85546875" style="628" customWidth="1"/>
    <col min="2826" max="2826" width="5.5703125" style="628" customWidth="1"/>
    <col min="2827" max="2827" width="4.85546875" style="628" customWidth="1"/>
    <col min="2828" max="2828" width="5.5703125" style="628" customWidth="1"/>
    <col min="2829" max="2829" width="2.28515625" style="628" customWidth="1"/>
    <col min="2830" max="2830" width="5.7109375" style="628" customWidth="1"/>
    <col min="2831" max="2831" width="8.28515625" style="628" customWidth="1"/>
    <col min="2832" max="2832" width="5.7109375" style="628" customWidth="1"/>
    <col min="2833" max="2835" width="6.28515625" style="628" customWidth="1"/>
    <col min="2836" max="2836" width="0.42578125" style="628" customWidth="1"/>
    <col min="2837" max="2837" width="5.42578125" style="628" customWidth="1"/>
    <col min="2838" max="2838" width="5.140625" style="628" customWidth="1"/>
    <col min="2839" max="2839" width="5.7109375" style="628" customWidth="1"/>
    <col min="2840" max="2840" width="5.42578125" style="628" customWidth="1"/>
    <col min="2841" max="2841" width="9" style="628" customWidth="1"/>
    <col min="2842" max="2842" width="0.140625" style="628" customWidth="1"/>
    <col min="2843" max="2843" width="0" style="628" hidden="1" customWidth="1"/>
    <col min="2844" max="2844" width="1.5703125" style="628" customWidth="1"/>
    <col min="2845" max="2845" width="93.140625" style="628" customWidth="1"/>
    <col min="2846" max="2847" width="12.85546875" style="628" customWidth="1"/>
    <col min="2848" max="2848" width="8.140625" style="628" customWidth="1"/>
    <col min="2849" max="2849" width="22.140625" style="628" customWidth="1"/>
    <col min="2850" max="2855" width="10.42578125" style="628" customWidth="1"/>
    <col min="2856" max="2950" width="9.140625" style="628"/>
    <col min="2951" max="2951" width="10.140625" style="628" bestFit="1" customWidth="1"/>
    <col min="2952" max="2954" width="9.140625" style="628"/>
    <col min="2955" max="2955" width="20" style="628" customWidth="1"/>
    <col min="2956" max="3072" width="9.140625" style="628"/>
    <col min="3073" max="3073" width="1.5703125" style="628" customWidth="1"/>
    <col min="3074" max="3074" width="3.5703125" style="628" customWidth="1"/>
    <col min="3075" max="3075" width="7.140625" style="628" customWidth="1"/>
    <col min="3076" max="3076" width="1.28515625" style="628" customWidth="1"/>
    <col min="3077" max="3078" width="6.140625" style="628" customWidth="1"/>
    <col min="3079" max="3079" width="5.7109375" style="628" customWidth="1"/>
    <col min="3080" max="3080" width="5" style="628" customWidth="1"/>
    <col min="3081" max="3081" width="4.85546875" style="628" customWidth="1"/>
    <col min="3082" max="3082" width="5.5703125" style="628" customWidth="1"/>
    <col min="3083" max="3083" width="4.85546875" style="628" customWidth="1"/>
    <col min="3084" max="3084" width="5.5703125" style="628" customWidth="1"/>
    <col min="3085" max="3085" width="2.28515625" style="628" customWidth="1"/>
    <col min="3086" max="3086" width="5.7109375" style="628" customWidth="1"/>
    <col min="3087" max="3087" width="8.28515625" style="628" customWidth="1"/>
    <col min="3088" max="3088" width="5.7109375" style="628" customWidth="1"/>
    <col min="3089" max="3091" width="6.28515625" style="628" customWidth="1"/>
    <col min="3092" max="3092" width="0.42578125" style="628" customWidth="1"/>
    <col min="3093" max="3093" width="5.42578125" style="628" customWidth="1"/>
    <col min="3094" max="3094" width="5.140625" style="628" customWidth="1"/>
    <col min="3095" max="3095" width="5.7109375" style="628" customWidth="1"/>
    <col min="3096" max="3096" width="5.42578125" style="628" customWidth="1"/>
    <col min="3097" max="3097" width="9" style="628" customWidth="1"/>
    <col min="3098" max="3098" width="0.140625" style="628" customWidth="1"/>
    <col min="3099" max="3099" width="0" style="628" hidden="1" customWidth="1"/>
    <col min="3100" max="3100" width="1.5703125" style="628" customWidth="1"/>
    <col min="3101" max="3101" width="93.140625" style="628" customWidth="1"/>
    <col min="3102" max="3103" width="12.85546875" style="628" customWidth="1"/>
    <col min="3104" max="3104" width="8.140625" style="628" customWidth="1"/>
    <col min="3105" max="3105" width="22.140625" style="628" customWidth="1"/>
    <col min="3106" max="3111" width="10.42578125" style="628" customWidth="1"/>
    <col min="3112" max="3206" width="9.140625" style="628"/>
    <col min="3207" max="3207" width="10.140625" style="628" bestFit="1" customWidth="1"/>
    <col min="3208" max="3210" width="9.140625" style="628"/>
    <col min="3211" max="3211" width="20" style="628" customWidth="1"/>
    <col min="3212" max="3328" width="9.140625" style="628"/>
    <col min="3329" max="3329" width="1.5703125" style="628" customWidth="1"/>
    <col min="3330" max="3330" width="3.5703125" style="628" customWidth="1"/>
    <col min="3331" max="3331" width="7.140625" style="628" customWidth="1"/>
    <col min="3332" max="3332" width="1.28515625" style="628" customWidth="1"/>
    <col min="3333" max="3334" width="6.140625" style="628" customWidth="1"/>
    <col min="3335" max="3335" width="5.7109375" style="628" customWidth="1"/>
    <col min="3336" max="3336" width="5" style="628" customWidth="1"/>
    <col min="3337" max="3337" width="4.85546875" style="628" customWidth="1"/>
    <col min="3338" max="3338" width="5.5703125" style="628" customWidth="1"/>
    <col min="3339" max="3339" width="4.85546875" style="628" customWidth="1"/>
    <col min="3340" max="3340" width="5.5703125" style="628" customWidth="1"/>
    <col min="3341" max="3341" width="2.28515625" style="628" customWidth="1"/>
    <col min="3342" max="3342" width="5.7109375" style="628" customWidth="1"/>
    <col min="3343" max="3343" width="8.28515625" style="628" customWidth="1"/>
    <col min="3344" max="3344" width="5.7109375" style="628" customWidth="1"/>
    <col min="3345" max="3347" width="6.28515625" style="628" customWidth="1"/>
    <col min="3348" max="3348" width="0.42578125" style="628" customWidth="1"/>
    <col min="3349" max="3349" width="5.42578125" style="628" customWidth="1"/>
    <col min="3350" max="3350" width="5.140625" style="628" customWidth="1"/>
    <col min="3351" max="3351" width="5.7109375" style="628" customWidth="1"/>
    <col min="3352" max="3352" width="5.42578125" style="628" customWidth="1"/>
    <col min="3353" max="3353" width="9" style="628" customWidth="1"/>
    <col min="3354" max="3354" width="0.140625" style="628" customWidth="1"/>
    <col min="3355" max="3355" width="0" style="628" hidden="1" customWidth="1"/>
    <col min="3356" max="3356" width="1.5703125" style="628" customWidth="1"/>
    <col min="3357" max="3357" width="93.140625" style="628" customWidth="1"/>
    <col min="3358" max="3359" width="12.85546875" style="628" customWidth="1"/>
    <col min="3360" max="3360" width="8.140625" style="628" customWidth="1"/>
    <col min="3361" max="3361" width="22.140625" style="628" customWidth="1"/>
    <col min="3362" max="3367" width="10.42578125" style="628" customWidth="1"/>
    <col min="3368" max="3462" width="9.140625" style="628"/>
    <col min="3463" max="3463" width="10.140625" style="628" bestFit="1" customWidth="1"/>
    <col min="3464" max="3466" width="9.140625" style="628"/>
    <col min="3467" max="3467" width="20" style="628" customWidth="1"/>
    <col min="3468" max="3584" width="9.140625" style="628"/>
    <col min="3585" max="3585" width="1.5703125" style="628" customWidth="1"/>
    <col min="3586" max="3586" width="3.5703125" style="628" customWidth="1"/>
    <col min="3587" max="3587" width="7.140625" style="628" customWidth="1"/>
    <col min="3588" max="3588" width="1.28515625" style="628" customWidth="1"/>
    <col min="3589" max="3590" width="6.140625" style="628" customWidth="1"/>
    <col min="3591" max="3591" width="5.7109375" style="628" customWidth="1"/>
    <col min="3592" max="3592" width="5" style="628" customWidth="1"/>
    <col min="3593" max="3593" width="4.85546875" style="628" customWidth="1"/>
    <col min="3594" max="3594" width="5.5703125" style="628" customWidth="1"/>
    <col min="3595" max="3595" width="4.85546875" style="628" customWidth="1"/>
    <col min="3596" max="3596" width="5.5703125" style="628" customWidth="1"/>
    <col min="3597" max="3597" width="2.28515625" style="628" customWidth="1"/>
    <col min="3598" max="3598" width="5.7109375" style="628" customWidth="1"/>
    <col min="3599" max="3599" width="8.28515625" style="628" customWidth="1"/>
    <col min="3600" max="3600" width="5.7109375" style="628" customWidth="1"/>
    <col min="3601" max="3603" width="6.28515625" style="628" customWidth="1"/>
    <col min="3604" max="3604" width="0.42578125" style="628" customWidth="1"/>
    <col min="3605" max="3605" width="5.42578125" style="628" customWidth="1"/>
    <col min="3606" max="3606" width="5.140625" style="628" customWidth="1"/>
    <col min="3607" max="3607" width="5.7109375" style="628" customWidth="1"/>
    <col min="3608" max="3608" width="5.42578125" style="628" customWidth="1"/>
    <col min="3609" max="3609" width="9" style="628" customWidth="1"/>
    <col min="3610" max="3610" width="0.140625" style="628" customWidth="1"/>
    <col min="3611" max="3611" width="0" style="628" hidden="1" customWidth="1"/>
    <col min="3612" max="3612" width="1.5703125" style="628" customWidth="1"/>
    <col min="3613" max="3613" width="93.140625" style="628" customWidth="1"/>
    <col min="3614" max="3615" width="12.85546875" style="628" customWidth="1"/>
    <col min="3616" max="3616" width="8.140625" style="628" customWidth="1"/>
    <col min="3617" max="3617" width="22.140625" style="628" customWidth="1"/>
    <col min="3618" max="3623" width="10.42578125" style="628" customWidth="1"/>
    <col min="3624" max="3718" width="9.140625" style="628"/>
    <col min="3719" max="3719" width="10.140625" style="628" bestFit="1" customWidth="1"/>
    <col min="3720" max="3722" width="9.140625" style="628"/>
    <col min="3723" max="3723" width="20" style="628" customWidth="1"/>
    <col min="3724" max="3840" width="9.140625" style="628"/>
    <col min="3841" max="3841" width="1.5703125" style="628" customWidth="1"/>
    <col min="3842" max="3842" width="3.5703125" style="628" customWidth="1"/>
    <col min="3843" max="3843" width="7.140625" style="628" customWidth="1"/>
    <col min="3844" max="3844" width="1.28515625" style="628" customWidth="1"/>
    <col min="3845" max="3846" width="6.140625" style="628" customWidth="1"/>
    <col min="3847" max="3847" width="5.7109375" style="628" customWidth="1"/>
    <col min="3848" max="3848" width="5" style="628" customWidth="1"/>
    <col min="3849" max="3849" width="4.85546875" style="628" customWidth="1"/>
    <col min="3850" max="3850" width="5.5703125" style="628" customWidth="1"/>
    <col min="3851" max="3851" width="4.85546875" style="628" customWidth="1"/>
    <col min="3852" max="3852" width="5.5703125" style="628" customWidth="1"/>
    <col min="3853" max="3853" width="2.28515625" style="628" customWidth="1"/>
    <col min="3854" max="3854" width="5.7109375" style="628" customWidth="1"/>
    <col min="3855" max="3855" width="8.28515625" style="628" customWidth="1"/>
    <col min="3856" max="3856" width="5.7109375" style="628" customWidth="1"/>
    <col min="3857" max="3859" width="6.28515625" style="628" customWidth="1"/>
    <col min="3860" max="3860" width="0.42578125" style="628" customWidth="1"/>
    <col min="3861" max="3861" width="5.42578125" style="628" customWidth="1"/>
    <col min="3862" max="3862" width="5.140625" style="628" customWidth="1"/>
    <col min="3863" max="3863" width="5.7109375" style="628" customWidth="1"/>
    <col min="3864" max="3864" width="5.42578125" style="628" customWidth="1"/>
    <col min="3865" max="3865" width="9" style="628" customWidth="1"/>
    <col min="3866" max="3866" width="0.140625" style="628" customWidth="1"/>
    <col min="3867" max="3867" width="0" style="628" hidden="1" customWidth="1"/>
    <col min="3868" max="3868" width="1.5703125" style="628" customWidth="1"/>
    <col min="3869" max="3869" width="93.140625" style="628" customWidth="1"/>
    <col min="3870" max="3871" width="12.85546875" style="628" customWidth="1"/>
    <col min="3872" max="3872" width="8.140625" style="628" customWidth="1"/>
    <col min="3873" max="3873" width="22.140625" style="628" customWidth="1"/>
    <col min="3874" max="3879" width="10.42578125" style="628" customWidth="1"/>
    <col min="3880" max="3974" width="9.140625" style="628"/>
    <col min="3975" max="3975" width="10.140625" style="628" bestFit="1" customWidth="1"/>
    <col min="3976" max="3978" width="9.140625" style="628"/>
    <col min="3979" max="3979" width="20" style="628" customWidth="1"/>
    <col min="3980" max="4096" width="9.140625" style="628"/>
    <col min="4097" max="4097" width="1.5703125" style="628" customWidth="1"/>
    <col min="4098" max="4098" width="3.5703125" style="628" customWidth="1"/>
    <col min="4099" max="4099" width="7.140625" style="628" customWidth="1"/>
    <col min="4100" max="4100" width="1.28515625" style="628" customWidth="1"/>
    <col min="4101" max="4102" width="6.140625" style="628" customWidth="1"/>
    <col min="4103" max="4103" width="5.7109375" style="628" customWidth="1"/>
    <col min="4104" max="4104" width="5" style="628" customWidth="1"/>
    <col min="4105" max="4105" width="4.85546875" style="628" customWidth="1"/>
    <col min="4106" max="4106" width="5.5703125" style="628" customWidth="1"/>
    <col min="4107" max="4107" width="4.85546875" style="628" customWidth="1"/>
    <col min="4108" max="4108" width="5.5703125" style="628" customWidth="1"/>
    <col min="4109" max="4109" width="2.28515625" style="628" customWidth="1"/>
    <col min="4110" max="4110" width="5.7109375" style="628" customWidth="1"/>
    <col min="4111" max="4111" width="8.28515625" style="628" customWidth="1"/>
    <col min="4112" max="4112" width="5.7109375" style="628" customWidth="1"/>
    <col min="4113" max="4115" width="6.28515625" style="628" customWidth="1"/>
    <col min="4116" max="4116" width="0.42578125" style="628" customWidth="1"/>
    <col min="4117" max="4117" width="5.42578125" style="628" customWidth="1"/>
    <col min="4118" max="4118" width="5.140625" style="628" customWidth="1"/>
    <col min="4119" max="4119" width="5.7109375" style="628" customWidth="1"/>
    <col min="4120" max="4120" width="5.42578125" style="628" customWidth="1"/>
    <col min="4121" max="4121" width="9" style="628" customWidth="1"/>
    <col min="4122" max="4122" width="0.140625" style="628" customWidth="1"/>
    <col min="4123" max="4123" width="0" style="628" hidden="1" customWidth="1"/>
    <col min="4124" max="4124" width="1.5703125" style="628" customWidth="1"/>
    <col min="4125" max="4125" width="93.140625" style="628" customWidth="1"/>
    <col min="4126" max="4127" width="12.85546875" style="628" customWidth="1"/>
    <col min="4128" max="4128" width="8.140625" style="628" customWidth="1"/>
    <col min="4129" max="4129" width="22.140625" style="628" customWidth="1"/>
    <col min="4130" max="4135" width="10.42578125" style="628" customWidth="1"/>
    <col min="4136" max="4230" width="9.140625" style="628"/>
    <col min="4231" max="4231" width="10.140625" style="628" bestFit="1" customWidth="1"/>
    <col min="4232" max="4234" width="9.140625" style="628"/>
    <col min="4235" max="4235" width="20" style="628" customWidth="1"/>
    <col min="4236" max="4352" width="9.140625" style="628"/>
    <col min="4353" max="4353" width="1.5703125" style="628" customWidth="1"/>
    <col min="4354" max="4354" width="3.5703125" style="628" customWidth="1"/>
    <col min="4355" max="4355" width="7.140625" style="628" customWidth="1"/>
    <col min="4356" max="4356" width="1.28515625" style="628" customWidth="1"/>
    <col min="4357" max="4358" width="6.140625" style="628" customWidth="1"/>
    <col min="4359" max="4359" width="5.7109375" style="628" customWidth="1"/>
    <col min="4360" max="4360" width="5" style="628" customWidth="1"/>
    <col min="4361" max="4361" width="4.85546875" style="628" customWidth="1"/>
    <col min="4362" max="4362" width="5.5703125" style="628" customWidth="1"/>
    <col min="4363" max="4363" width="4.85546875" style="628" customWidth="1"/>
    <col min="4364" max="4364" width="5.5703125" style="628" customWidth="1"/>
    <col min="4365" max="4365" width="2.28515625" style="628" customWidth="1"/>
    <col min="4366" max="4366" width="5.7109375" style="628" customWidth="1"/>
    <col min="4367" max="4367" width="8.28515625" style="628" customWidth="1"/>
    <col min="4368" max="4368" width="5.7109375" style="628" customWidth="1"/>
    <col min="4369" max="4371" width="6.28515625" style="628" customWidth="1"/>
    <col min="4372" max="4372" width="0.42578125" style="628" customWidth="1"/>
    <col min="4373" max="4373" width="5.42578125" style="628" customWidth="1"/>
    <col min="4374" max="4374" width="5.140625" style="628" customWidth="1"/>
    <col min="4375" max="4375" width="5.7109375" style="628" customWidth="1"/>
    <col min="4376" max="4376" width="5.42578125" style="628" customWidth="1"/>
    <col min="4377" max="4377" width="9" style="628" customWidth="1"/>
    <col min="4378" max="4378" width="0.140625" style="628" customWidth="1"/>
    <col min="4379" max="4379" width="0" style="628" hidden="1" customWidth="1"/>
    <col min="4380" max="4380" width="1.5703125" style="628" customWidth="1"/>
    <col min="4381" max="4381" width="93.140625" style="628" customWidth="1"/>
    <col min="4382" max="4383" width="12.85546875" style="628" customWidth="1"/>
    <col min="4384" max="4384" width="8.140625" style="628" customWidth="1"/>
    <col min="4385" max="4385" width="22.140625" style="628" customWidth="1"/>
    <col min="4386" max="4391" width="10.42578125" style="628" customWidth="1"/>
    <col min="4392" max="4486" width="9.140625" style="628"/>
    <col min="4487" max="4487" width="10.140625" style="628" bestFit="1" customWidth="1"/>
    <col min="4488" max="4490" width="9.140625" style="628"/>
    <col min="4491" max="4491" width="20" style="628" customWidth="1"/>
    <col min="4492" max="4608" width="9.140625" style="628"/>
    <col min="4609" max="4609" width="1.5703125" style="628" customWidth="1"/>
    <col min="4610" max="4610" width="3.5703125" style="628" customWidth="1"/>
    <col min="4611" max="4611" width="7.140625" style="628" customWidth="1"/>
    <col min="4612" max="4612" width="1.28515625" style="628" customWidth="1"/>
    <col min="4613" max="4614" width="6.140625" style="628" customWidth="1"/>
    <col min="4615" max="4615" width="5.7109375" style="628" customWidth="1"/>
    <col min="4616" max="4616" width="5" style="628" customWidth="1"/>
    <col min="4617" max="4617" width="4.85546875" style="628" customWidth="1"/>
    <col min="4618" max="4618" width="5.5703125" style="628" customWidth="1"/>
    <col min="4619" max="4619" width="4.85546875" style="628" customWidth="1"/>
    <col min="4620" max="4620" width="5.5703125" style="628" customWidth="1"/>
    <col min="4621" max="4621" width="2.28515625" style="628" customWidth="1"/>
    <col min="4622" max="4622" width="5.7109375" style="628" customWidth="1"/>
    <col min="4623" max="4623" width="8.28515625" style="628" customWidth="1"/>
    <col min="4624" max="4624" width="5.7109375" style="628" customWidth="1"/>
    <col min="4625" max="4627" width="6.28515625" style="628" customWidth="1"/>
    <col min="4628" max="4628" width="0.42578125" style="628" customWidth="1"/>
    <col min="4629" max="4629" width="5.42578125" style="628" customWidth="1"/>
    <col min="4630" max="4630" width="5.140625" style="628" customWidth="1"/>
    <col min="4631" max="4631" width="5.7109375" style="628" customWidth="1"/>
    <col min="4632" max="4632" width="5.42578125" style="628" customWidth="1"/>
    <col min="4633" max="4633" width="9" style="628" customWidth="1"/>
    <col min="4634" max="4634" width="0.140625" style="628" customWidth="1"/>
    <col min="4635" max="4635" width="0" style="628" hidden="1" customWidth="1"/>
    <col min="4636" max="4636" width="1.5703125" style="628" customWidth="1"/>
    <col min="4637" max="4637" width="93.140625" style="628" customWidth="1"/>
    <col min="4638" max="4639" width="12.85546875" style="628" customWidth="1"/>
    <col min="4640" max="4640" width="8.140625" style="628" customWidth="1"/>
    <col min="4641" max="4641" width="22.140625" style="628" customWidth="1"/>
    <col min="4642" max="4647" width="10.42578125" style="628" customWidth="1"/>
    <col min="4648" max="4742" width="9.140625" style="628"/>
    <col min="4743" max="4743" width="10.140625" style="628" bestFit="1" customWidth="1"/>
    <col min="4744" max="4746" width="9.140625" style="628"/>
    <col min="4747" max="4747" width="20" style="628" customWidth="1"/>
    <col min="4748" max="4864" width="9.140625" style="628"/>
    <col min="4865" max="4865" width="1.5703125" style="628" customWidth="1"/>
    <col min="4866" max="4866" width="3.5703125" style="628" customWidth="1"/>
    <col min="4867" max="4867" width="7.140625" style="628" customWidth="1"/>
    <col min="4868" max="4868" width="1.28515625" style="628" customWidth="1"/>
    <col min="4869" max="4870" width="6.140625" style="628" customWidth="1"/>
    <col min="4871" max="4871" width="5.7109375" style="628" customWidth="1"/>
    <col min="4872" max="4872" width="5" style="628" customWidth="1"/>
    <col min="4873" max="4873" width="4.85546875" style="628" customWidth="1"/>
    <col min="4874" max="4874" width="5.5703125" style="628" customWidth="1"/>
    <col min="4875" max="4875" width="4.85546875" style="628" customWidth="1"/>
    <col min="4876" max="4876" width="5.5703125" style="628" customWidth="1"/>
    <col min="4877" max="4877" width="2.28515625" style="628" customWidth="1"/>
    <col min="4878" max="4878" width="5.7109375" style="628" customWidth="1"/>
    <col min="4879" max="4879" width="8.28515625" style="628" customWidth="1"/>
    <col min="4880" max="4880" width="5.7109375" style="628" customWidth="1"/>
    <col min="4881" max="4883" width="6.28515625" style="628" customWidth="1"/>
    <col min="4884" max="4884" width="0.42578125" style="628" customWidth="1"/>
    <col min="4885" max="4885" width="5.42578125" style="628" customWidth="1"/>
    <col min="4886" max="4886" width="5.140625" style="628" customWidth="1"/>
    <col min="4887" max="4887" width="5.7109375" style="628" customWidth="1"/>
    <col min="4888" max="4888" width="5.42578125" style="628" customWidth="1"/>
    <col min="4889" max="4889" width="9" style="628" customWidth="1"/>
    <col min="4890" max="4890" width="0.140625" style="628" customWidth="1"/>
    <col min="4891" max="4891" width="0" style="628" hidden="1" customWidth="1"/>
    <col min="4892" max="4892" width="1.5703125" style="628" customWidth="1"/>
    <col min="4893" max="4893" width="93.140625" style="628" customWidth="1"/>
    <col min="4894" max="4895" width="12.85546875" style="628" customWidth="1"/>
    <col min="4896" max="4896" width="8.140625" style="628" customWidth="1"/>
    <col min="4897" max="4897" width="22.140625" style="628" customWidth="1"/>
    <col min="4898" max="4903" width="10.42578125" style="628" customWidth="1"/>
    <col min="4904" max="4998" width="9.140625" style="628"/>
    <col min="4999" max="4999" width="10.140625" style="628" bestFit="1" customWidth="1"/>
    <col min="5000" max="5002" width="9.140625" style="628"/>
    <col min="5003" max="5003" width="20" style="628" customWidth="1"/>
    <col min="5004" max="5120" width="9.140625" style="628"/>
    <col min="5121" max="5121" width="1.5703125" style="628" customWidth="1"/>
    <col min="5122" max="5122" width="3.5703125" style="628" customWidth="1"/>
    <col min="5123" max="5123" width="7.140625" style="628" customWidth="1"/>
    <col min="5124" max="5124" width="1.28515625" style="628" customWidth="1"/>
    <col min="5125" max="5126" width="6.140625" style="628" customWidth="1"/>
    <col min="5127" max="5127" width="5.7109375" style="628" customWidth="1"/>
    <col min="5128" max="5128" width="5" style="628" customWidth="1"/>
    <col min="5129" max="5129" width="4.85546875" style="628" customWidth="1"/>
    <col min="5130" max="5130" width="5.5703125" style="628" customWidth="1"/>
    <col min="5131" max="5131" width="4.85546875" style="628" customWidth="1"/>
    <col min="5132" max="5132" width="5.5703125" style="628" customWidth="1"/>
    <col min="5133" max="5133" width="2.28515625" style="628" customWidth="1"/>
    <col min="5134" max="5134" width="5.7109375" style="628" customWidth="1"/>
    <col min="5135" max="5135" width="8.28515625" style="628" customWidth="1"/>
    <col min="5136" max="5136" width="5.7109375" style="628" customWidth="1"/>
    <col min="5137" max="5139" width="6.28515625" style="628" customWidth="1"/>
    <col min="5140" max="5140" width="0.42578125" style="628" customWidth="1"/>
    <col min="5141" max="5141" width="5.42578125" style="628" customWidth="1"/>
    <col min="5142" max="5142" width="5.140625" style="628" customWidth="1"/>
    <col min="5143" max="5143" width="5.7109375" style="628" customWidth="1"/>
    <col min="5144" max="5144" width="5.42578125" style="628" customWidth="1"/>
    <col min="5145" max="5145" width="9" style="628" customWidth="1"/>
    <col min="5146" max="5146" width="0.140625" style="628" customWidth="1"/>
    <col min="5147" max="5147" width="0" style="628" hidden="1" customWidth="1"/>
    <col min="5148" max="5148" width="1.5703125" style="628" customWidth="1"/>
    <col min="5149" max="5149" width="93.140625" style="628" customWidth="1"/>
    <col min="5150" max="5151" width="12.85546875" style="628" customWidth="1"/>
    <col min="5152" max="5152" width="8.140625" style="628" customWidth="1"/>
    <col min="5153" max="5153" width="22.140625" style="628" customWidth="1"/>
    <col min="5154" max="5159" width="10.42578125" style="628" customWidth="1"/>
    <col min="5160" max="5254" width="9.140625" style="628"/>
    <col min="5255" max="5255" width="10.140625" style="628" bestFit="1" customWidth="1"/>
    <col min="5256" max="5258" width="9.140625" style="628"/>
    <col min="5259" max="5259" width="20" style="628" customWidth="1"/>
    <col min="5260" max="5376" width="9.140625" style="628"/>
    <col min="5377" max="5377" width="1.5703125" style="628" customWidth="1"/>
    <col min="5378" max="5378" width="3.5703125" style="628" customWidth="1"/>
    <col min="5379" max="5379" width="7.140625" style="628" customWidth="1"/>
    <col min="5380" max="5380" width="1.28515625" style="628" customWidth="1"/>
    <col min="5381" max="5382" width="6.140625" style="628" customWidth="1"/>
    <col min="5383" max="5383" width="5.7109375" style="628" customWidth="1"/>
    <col min="5384" max="5384" width="5" style="628" customWidth="1"/>
    <col min="5385" max="5385" width="4.85546875" style="628" customWidth="1"/>
    <col min="5386" max="5386" width="5.5703125" style="628" customWidth="1"/>
    <col min="5387" max="5387" width="4.85546875" style="628" customWidth="1"/>
    <col min="5388" max="5388" width="5.5703125" style="628" customWidth="1"/>
    <col min="5389" max="5389" width="2.28515625" style="628" customWidth="1"/>
    <col min="5390" max="5390" width="5.7109375" style="628" customWidth="1"/>
    <col min="5391" max="5391" width="8.28515625" style="628" customWidth="1"/>
    <col min="5392" max="5392" width="5.7109375" style="628" customWidth="1"/>
    <col min="5393" max="5395" width="6.28515625" style="628" customWidth="1"/>
    <col min="5396" max="5396" width="0.42578125" style="628" customWidth="1"/>
    <col min="5397" max="5397" width="5.42578125" style="628" customWidth="1"/>
    <col min="5398" max="5398" width="5.140625" style="628" customWidth="1"/>
    <col min="5399" max="5399" width="5.7109375" style="628" customWidth="1"/>
    <col min="5400" max="5400" width="5.42578125" style="628" customWidth="1"/>
    <col min="5401" max="5401" width="9" style="628" customWidth="1"/>
    <col min="5402" max="5402" width="0.140625" style="628" customWidth="1"/>
    <col min="5403" max="5403" width="0" style="628" hidden="1" customWidth="1"/>
    <col min="5404" max="5404" width="1.5703125" style="628" customWidth="1"/>
    <col min="5405" max="5405" width="93.140625" style="628" customWidth="1"/>
    <col min="5406" max="5407" width="12.85546875" style="628" customWidth="1"/>
    <col min="5408" max="5408" width="8.140625" style="628" customWidth="1"/>
    <col min="5409" max="5409" width="22.140625" style="628" customWidth="1"/>
    <col min="5410" max="5415" width="10.42578125" style="628" customWidth="1"/>
    <col min="5416" max="5510" width="9.140625" style="628"/>
    <col min="5511" max="5511" width="10.140625" style="628" bestFit="1" customWidth="1"/>
    <col min="5512" max="5514" width="9.140625" style="628"/>
    <col min="5515" max="5515" width="20" style="628" customWidth="1"/>
    <col min="5516" max="5632" width="9.140625" style="628"/>
    <col min="5633" max="5633" width="1.5703125" style="628" customWidth="1"/>
    <col min="5634" max="5634" width="3.5703125" style="628" customWidth="1"/>
    <col min="5635" max="5635" width="7.140625" style="628" customWidth="1"/>
    <col min="5636" max="5636" width="1.28515625" style="628" customWidth="1"/>
    <col min="5637" max="5638" width="6.140625" style="628" customWidth="1"/>
    <col min="5639" max="5639" width="5.7109375" style="628" customWidth="1"/>
    <col min="5640" max="5640" width="5" style="628" customWidth="1"/>
    <col min="5641" max="5641" width="4.85546875" style="628" customWidth="1"/>
    <col min="5642" max="5642" width="5.5703125" style="628" customWidth="1"/>
    <col min="5643" max="5643" width="4.85546875" style="628" customWidth="1"/>
    <col min="5644" max="5644" width="5.5703125" style="628" customWidth="1"/>
    <col min="5645" max="5645" width="2.28515625" style="628" customWidth="1"/>
    <col min="5646" max="5646" width="5.7109375" style="628" customWidth="1"/>
    <col min="5647" max="5647" width="8.28515625" style="628" customWidth="1"/>
    <col min="5648" max="5648" width="5.7109375" style="628" customWidth="1"/>
    <col min="5649" max="5651" width="6.28515625" style="628" customWidth="1"/>
    <col min="5652" max="5652" width="0.42578125" style="628" customWidth="1"/>
    <col min="5653" max="5653" width="5.42578125" style="628" customWidth="1"/>
    <col min="5654" max="5654" width="5.140625" style="628" customWidth="1"/>
    <col min="5655" max="5655" width="5.7109375" style="628" customWidth="1"/>
    <col min="5656" max="5656" width="5.42578125" style="628" customWidth="1"/>
    <col min="5657" max="5657" width="9" style="628" customWidth="1"/>
    <col min="5658" max="5658" width="0.140625" style="628" customWidth="1"/>
    <col min="5659" max="5659" width="0" style="628" hidden="1" customWidth="1"/>
    <col min="5660" max="5660" width="1.5703125" style="628" customWidth="1"/>
    <col min="5661" max="5661" width="93.140625" style="628" customWidth="1"/>
    <col min="5662" max="5663" width="12.85546875" style="628" customWidth="1"/>
    <col min="5664" max="5664" width="8.140625" style="628" customWidth="1"/>
    <col min="5665" max="5665" width="22.140625" style="628" customWidth="1"/>
    <col min="5666" max="5671" width="10.42578125" style="628" customWidth="1"/>
    <col min="5672" max="5766" width="9.140625" style="628"/>
    <col min="5767" max="5767" width="10.140625" style="628" bestFit="1" customWidth="1"/>
    <col min="5768" max="5770" width="9.140625" style="628"/>
    <col min="5771" max="5771" width="20" style="628" customWidth="1"/>
    <col min="5772" max="5888" width="9.140625" style="628"/>
    <col min="5889" max="5889" width="1.5703125" style="628" customWidth="1"/>
    <col min="5890" max="5890" width="3.5703125" style="628" customWidth="1"/>
    <col min="5891" max="5891" width="7.140625" style="628" customWidth="1"/>
    <col min="5892" max="5892" width="1.28515625" style="628" customWidth="1"/>
    <col min="5893" max="5894" width="6.140625" style="628" customWidth="1"/>
    <col min="5895" max="5895" width="5.7109375" style="628" customWidth="1"/>
    <col min="5896" max="5896" width="5" style="628" customWidth="1"/>
    <col min="5897" max="5897" width="4.85546875" style="628" customWidth="1"/>
    <col min="5898" max="5898" width="5.5703125" style="628" customWidth="1"/>
    <col min="5899" max="5899" width="4.85546875" style="628" customWidth="1"/>
    <col min="5900" max="5900" width="5.5703125" style="628" customWidth="1"/>
    <col min="5901" max="5901" width="2.28515625" style="628" customWidth="1"/>
    <col min="5902" max="5902" width="5.7109375" style="628" customWidth="1"/>
    <col min="5903" max="5903" width="8.28515625" style="628" customWidth="1"/>
    <col min="5904" max="5904" width="5.7109375" style="628" customWidth="1"/>
    <col min="5905" max="5907" width="6.28515625" style="628" customWidth="1"/>
    <col min="5908" max="5908" width="0.42578125" style="628" customWidth="1"/>
    <col min="5909" max="5909" width="5.42578125" style="628" customWidth="1"/>
    <col min="5910" max="5910" width="5.140625" style="628" customWidth="1"/>
    <col min="5911" max="5911" width="5.7109375" style="628" customWidth="1"/>
    <col min="5912" max="5912" width="5.42578125" style="628" customWidth="1"/>
    <col min="5913" max="5913" width="9" style="628" customWidth="1"/>
    <col min="5914" max="5914" width="0.140625" style="628" customWidth="1"/>
    <col min="5915" max="5915" width="0" style="628" hidden="1" customWidth="1"/>
    <col min="5916" max="5916" width="1.5703125" style="628" customWidth="1"/>
    <col min="5917" max="5917" width="93.140625" style="628" customWidth="1"/>
    <col min="5918" max="5919" width="12.85546875" style="628" customWidth="1"/>
    <col min="5920" max="5920" width="8.140625" style="628" customWidth="1"/>
    <col min="5921" max="5921" width="22.140625" style="628" customWidth="1"/>
    <col min="5922" max="5927" width="10.42578125" style="628" customWidth="1"/>
    <col min="5928" max="6022" width="9.140625" style="628"/>
    <col min="6023" max="6023" width="10.140625" style="628" bestFit="1" customWidth="1"/>
    <col min="6024" max="6026" width="9.140625" style="628"/>
    <col min="6027" max="6027" width="20" style="628" customWidth="1"/>
    <col min="6028" max="6144" width="9.140625" style="628"/>
    <col min="6145" max="6145" width="1.5703125" style="628" customWidth="1"/>
    <col min="6146" max="6146" width="3.5703125" style="628" customWidth="1"/>
    <col min="6147" max="6147" width="7.140625" style="628" customWidth="1"/>
    <col min="6148" max="6148" width="1.28515625" style="628" customWidth="1"/>
    <col min="6149" max="6150" width="6.140625" style="628" customWidth="1"/>
    <col min="6151" max="6151" width="5.7109375" style="628" customWidth="1"/>
    <col min="6152" max="6152" width="5" style="628" customWidth="1"/>
    <col min="6153" max="6153" width="4.85546875" style="628" customWidth="1"/>
    <col min="6154" max="6154" width="5.5703125" style="628" customWidth="1"/>
    <col min="6155" max="6155" width="4.85546875" style="628" customWidth="1"/>
    <col min="6156" max="6156" width="5.5703125" style="628" customWidth="1"/>
    <col min="6157" max="6157" width="2.28515625" style="628" customWidth="1"/>
    <col min="6158" max="6158" width="5.7109375" style="628" customWidth="1"/>
    <col min="6159" max="6159" width="8.28515625" style="628" customWidth="1"/>
    <col min="6160" max="6160" width="5.7109375" style="628" customWidth="1"/>
    <col min="6161" max="6163" width="6.28515625" style="628" customWidth="1"/>
    <col min="6164" max="6164" width="0.42578125" style="628" customWidth="1"/>
    <col min="6165" max="6165" width="5.42578125" style="628" customWidth="1"/>
    <col min="6166" max="6166" width="5.140625" style="628" customWidth="1"/>
    <col min="6167" max="6167" width="5.7109375" style="628" customWidth="1"/>
    <col min="6168" max="6168" width="5.42578125" style="628" customWidth="1"/>
    <col min="6169" max="6169" width="9" style="628" customWidth="1"/>
    <col min="6170" max="6170" width="0.140625" style="628" customWidth="1"/>
    <col min="6171" max="6171" width="0" style="628" hidden="1" customWidth="1"/>
    <col min="6172" max="6172" width="1.5703125" style="628" customWidth="1"/>
    <col min="6173" max="6173" width="93.140625" style="628" customWidth="1"/>
    <col min="6174" max="6175" width="12.85546875" style="628" customWidth="1"/>
    <col min="6176" max="6176" width="8.140625" style="628" customWidth="1"/>
    <col min="6177" max="6177" width="22.140625" style="628" customWidth="1"/>
    <col min="6178" max="6183" width="10.42578125" style="628" customWidth="1"/>
    <col min="6184" max="6278" width="9.140625" style="628"/>
    <col min="6279" max="6279" width="10.140625" style="628" bestFit="1" customWidth="1"/>
    <col min="6280" max="6282" width="9.140625" style="628"/>
    <col min="6283" max="6283" width="20" style="628" customWidth="1"/>
    <col min="6284" max="6400" width="9.140625" style="628"/>
    <col min="6401" max="6401" width="1.5703125" style="628" customWidth="1"/>
    <col min="6402" max="6402" width="3.5703125" style="628" customWidth="1"/>
    <col min="6403" max="6403" width="7.140625" style="628" customWidth="1"/>
    <col min="6404" max="6404" width="1.28515625" style="628" customWidth="1"/>
    <col min="6405" max="6406" width="6.140625" style="628" customWidth="1"/>
    <col min="6407" max="6407" width="5.7109375" style="628" customWidth="1"/>
    <col min="6408" max="6408" width="5" style="628" customWidth="1"/>
    <col min="6409" max="6409" width="4.85546875" style="628" customWidth="1"/>
    <col min="6410" max="6410" width="5.5703125" style="628" customWidth="1"/>
    <col min="6411" max="6411" width="4.85546875" style="628" customWidth="1"/>
    <col min="6412" max="6412" width="5.5703125" style="628" customWidth="1"/>
    <col min="6413" max="6413" width="2.28515625" style="628" customWidth="1"/>
    <col min="6414" max="6414" width="5.7109375" style="628" customWidth="1"/>
    <col min="6415" max="6415" width="8.28515625" style="628" customWidth="1"/>
    <col min="6416" max="6416" width="5.7109375" style="628" customWidth="1"/>
    <col min="6417" max="6419" width="6.28515625" style="628" customWidth="1"/>
    <col min="6420" max="6420" width="0.42578125" style="628" customWidth="1"/>
    <col min="6421" max="6421" width="5.42578125" style="628" customWidth="1"/>
    <col min="6422" max="6422" width="5.140625" style="628" customWidth="1"/>
    <col min="6423" max="6423" width="5.7109375" style="628" customWidth="1"/>
    <col min="6424" max="6424" width="5.42578125" style="628" customWidth="1"/>
    <col min="6425" max="6425" width="9" style="628" customWidth="1"/>
    <col min="6426" max="6426" width="0.140625" style="628" customWidth="1"/>
    <col min="6427" max="6427" width="0" style="628" hidden="1" customWidth="1"/>
    <col min="6428" max="6428" width="1.5703125" style="628" customWidth="1"/>
    <col min="6429" max="6429" width="93.140625" style="628" customWidth="1"/>
    <col min="6430" max="6431" width="12.85546875" style="628" customWidth="1"/>
    <col min="6432" max="6432" width="8.140625" style="628" customWidth="1"/>
    <col min="6433" max="6433" width="22.140625" style="628" customWidth="1"/>
    <col min="6434" max="6439" width="10.42578125" style="628" customWidth="1"/>
    <col min="6440" max="6534" width="9.140625" style="628"/>
    <col min="6535" max="6535" width="10.140625" style="628" bestFit="1" customWidth="1"/>
    <col min="6536" max="6538" width="9.140625" style="628"/>
    <col min="6539" max="6539" width="20" style="628" customWidth="1"/>
    <col min="6540" max="6656" width="9.140625" style="628"/>
    <col min="6657" max="6657" width="1.5703125" style="628" customWidth="1"/>
    <col min="6658" max="6658" width="3.5703125" style="628" customWidth="1"/>
    <col min="6659" max="6659" width="7.140625" style="628" customWidth="1"/>
    <col min="6660" max="6660" width="1.28515625" style="628" customWidth="1"/>
    <col min="6661" max="6662" width="6.140625" style="628" customWidth="1"/>
    <col min="6663" max="6663" width="5.7109375" style="628" customWidth="1"/>
    <col min="6664" max="6664" width="5" style="628" customWidth="1"/>
    <col min="6665" max="6665" width="4.85546875" style="628" customWidth="1"/>
    <col min="6666" max="6666" width="5.5703125" style="628" customWidth="1"/>
    <col min="6667" max="6667" width="4.85546875" style="628" customWidth="1"/>
    <col min="6668" max="6668" width="5.5703125" style="628" customWidth="1"/>
    <col min="6669" max="6669" width="2.28515625" style="628" customWidth="1"/>
    <col min="6670" max="6670" width="5.7109375" style="628" customWidth="1"/>
    <col min="6671" max="6671" width="8.28515625" style="628" customWidth="1"/>
    <col min="6672" max="6672" width="5.7109375" style="628" customWidth="1"/>
    <col min="6673" max="6675" width="6.28515625" style="628" customWidth="1"/>
    <col min="6676" max="6676" width="0.42578125" style="628" customWidth="1"/>
    <col min="6677" max="6677" width="5.42578125" style="628" customWidth="1"/>
    <col min="6678" max="6678" width="5.140625" style="628" customWidth="1"/>
    <col min="6679" max="6679" width="5.7109375" style="628" customWidth="1"/>
    <col min="6680" max="6680" width="5.42578125" style="628" customWidth="1"/>
    <col min="6681" max="6681" width="9" style="628" customWidth="1"/>
    <col min="6682" max="6682" width="0.140625" style="628" customWidth="1"/>
    <col min="6683" max="6683" width="0" style="628" hidden="1" customWidth="1"/>
    <col min="6684" max="6684" width="1.5703125" style="628" customWidth="1"/>
    <col min="6685" max="6685" width="93.140625" style="628" customWidth="1"/>
    <col min="6686" max="6687" width="12.85546875" style="628" customWidth="1"/>
    <col min="6688" max="6688" width="8.140625" style="628" customWidth="1"/>
    <col min="6689" max="6689" width="22.140625" style="628" customWidth="1"/>
    <col min="6690" max="6695" width="10.42578125" style="628" customWidth="1"/>
    <col min="6696" max="6790" width="9.140625" style="628"/>
    <col min="6791" max="6791" width="10.140625" style="628" bestFit="1" customWidth="1"/>
    <col min="6792" max="6794" width="9.140625" style="628"/>
    <col min="6795" max="6795" width="20" style="628" customWidth="1"/>
    <col min="6796" max="6912" width="9.140625" style="628"/>
    <col min="6913" max="6913" width="1.5703125" style="628" customWidth="1"/>
    <col min="6914" max="6914" width="3.5703125" style="628" customWidth="1"/>
    <col min="6915" max="6915" width="7.140625" style="628" customWidth="1"/>
    <col min="6916" max="6916" width="1.28515625" style="628" customWidth="1"/>
    <col min="6917" max="6918" width="6.140625" style="628" customWidth="1"/>
    <col min="6919" max="6919" width="5.7109375" style="628" customWidth="1"/>
    <col min="6920" max="6920" width="5" style="628" customWidth="1"/>
    <col min="6921" max="6921" width="4.85546875" style="628" customWidth="1"/>
    <col min="6922" max="6922" width="5.5703125" style="628" customWidth="1"/>
    <col min="6923" max="6923" width="4.85546875" style="628" customWidth="1"/>
    <col min="6924" max="6924" width="5.5703125" style="628" customWidth="1"/>
    <col min="6925" max="6925" width="2.28515625" style="628" customWidth="1"/>
    <col min="6926" max="6926" width="5.7109375" style="628" customWidth="1"/>
    <col min="6927" max="6927" width="8.28515625" style="628" customWidth="1"/>
    <col min="6928" max="6928" width="5.7109375" style="628" customWidth="1"/>
    <col min="6929" max="6931" width="6.28515625" style="628" customWidth="1"/>
    <col min="6932" max="6932" width="0.42578125" style="628" customWidth="1"/>
    <col min="6933" max="6933" width="5.42578125" style="628" customWidth="1"/>
    <col min="6934" max="6934" width="5.140625" style="628" customWidth="1"/>
    <col min="6935" max="6935" width="5.7109375" style="628" customWidth="1"/>
    <col min="6936" max="6936" width="5.42578125" style="628" customWidth="1"/>
    <col min="6937" max="6937" width="9" style="628" customWidth="1"/>
    <col min="6938" max="6938" width="0.140625" style="628" customWidth="1"/>
    <col min="6939" max="6939" width="0" style="628" hidden="1" customWidth="1"/>
    <col min="6940" max="6940" width="1.5703125" style="628" customWidth="1"/>
    <col min="6941" max="6941" width="93.140625" style="628" customWidth="1"/>
    <col min="6942" max="6943" width="12.85546875" style="628" customWidth="1"/>
    <col min="6944" max="6944" width="8.140625" style="628" customWidth="1"/>
    <col min="6945" max="6945" width="22.140625" style="628" customWidth="1"/>
    <col min="6946" max="6951" width="10.42578125" style="628" customWidth="1"/>
    <col min="6952" max="7046" width="9.140625" style="628"/>
    <col min="7047" max="7047" width="10.140625" style="628" bestFit="1" customWidth="1"/>
    <col min="7048" max="7050" width="9.140625" style="628"/>
    <col min="7051" max="7051" width="20" style="628" customWidth="1"/>
    <col min="7052" max="7168" width="9.140625" style="628"/>
    <col min="7169" max="7169" width="1.5703125" style="628" customWidth="1"/>
    <col min="7170" max="7170" width="3.5703125" style="628" customWidth="1"/>
    <col min="7171" max="7171" width="7.140625" style="628" customWidth="1"/>
    <col min="7172" max="7172" width="1.28515625" style="628" customWidth="1"/>
    <col min="7173" max="7174" width="6.140625" style="628" customWidth="1"/>
    <col min="7175" max="7175" width="5.7109375" style="628" customWidth="1"/>
    <col min="7176" max="7176" width="5" style="628" customWidth="1"/>
    <col min="7177" max="7177" width="4.85546875" style="628" customWidth="1"/>
    <col min="7178" max="7178" width="5.5703125" style="628" customWidth="1"/>
    <col min="7179" max="7179" width="4.85546875" style="628" customWidth="1"/>
    <col min="7180" max="7180" width="5.5703125" style="628" customWidth="1"/>
    <col min="7181" max="7181" width="2.28515625" style="628" customWidth="1"/>
    <col min="7182" max="7182" width="5.7109375" style="628" customWidth="1"/>
    <col min="7183" max="7183" width="8.28515625" style="628" customWidth="1"/>
    <col min="7184" max="7184" width="5.7109375" style="628" customWidth="1"/>
    <col min="7185" max="7187" width="6.28515625" style="628" customWidth="1"/>
    <col min="7188" max="7188" width="0.42578125" style="628" customWidth="1"/>
    <col min="7189" max="7189" width="5.42578125" style="628" customWidth="1"/>
    <col min="7190" max="7190" width="5.140625" style="628" customWidth="1"/>
    <col min="7191" max="7191" width="5.7109375" style="628" customWidth="1"/>
    <col min="7192" max="7192" width="5.42578125" style="628" customWidth="1"/>
    <col min="7193" max="7193" width="9" style="628" customWidth="1"/>
    <col min="7194" max="7194" width="0.140625" style="628" customWidth="1"/>
    <col min="7195" max="7195" width="0" style="628" hidden="1" customWidth="1"/>
    <col min="7196" max="7196" width="1.5703125" style="628" customWidth="1"/>
    <col min="7197" max="7197" width="93.140625" style="628" customWidth="1"/>
    <col min="7198" max="7199" width="12.85546875" style="628" customWidth="1"/>
    <col min="7200" max="7200" width="8.140625" style="628" customWidth="1"/>
    <col min="7201" max="7201" width="22.140625" style="628" customWidth="1"/>
    <col min="7202" max="7207" width="10.42578125" style="628" customWidth="1"/>
    <col min="7208" max="7302" width="9.140625" style="628"/>
    <col min="7303" max="7303" width="10.140625" style="628" bestFit="1" customWidth="1"/>
    <col min="7304" max="7306" width="9.140625" style="628"/>
    <col min="7307" max="7307" width="20" style="628" customWidth="1"/>
    <col min="7308" max="7424" width="9.140625" style="628"/>
    <col min="7425" max="7425" width="1.5703125" style="628" customWidth="1"/>
    <col min="7426" max="7426" width="3.5703125" style="628" customWidth="1"/>
    <col min="7427" max="7427" width="7.140625" style="628" customWidth="1"/>
    <col min="7428" max="7428" width="1.28515625" style="628" customWidth="1"/>
    <col min="7429" max="7430" width="6.140625" style="628" customWidth="1"/>
    <col min="7431" max="7431" width="5.7109375" style="628" customWidth="1"/>
    <col min="7432" max="7432" width="5" style="628" customWidth="1"/>
    <col min="7433" max="7433" width="4.85546875" style="628" customWidth="1"/>
    <col min="7434" max="7434" width="5.5703125" style="628" customWidth="1"/>
    <col min="7435" max="7435" width="4.85546875" style="628" customWidth="1"/>
    <col min="7436" max="7436" width="5.5703125" style="628" customWidth="1"/>
    <col min="7437" max="7437" width="2.28515625" style="628" customWidth="1"/>
    <col min="7438" max="7438" width="5.7109375" style="628" customWidth="1"/>
    <col min="7439" max="7439" width="8.28515625" style="628" customWidth="1"/>
    <col min="7440" max="7440" width="5.7109375" style="628" customWidth="1"/>
    <col min="7441" max="7443" width="6.28515625" style="628" customWidth="1"/>
    <col min="7444" max="7444" width="0.42578125" style="628" customWidth="1"/>
    <col min="7445" max="7445" width="5.42578125" style="628" customWidth="1"/>
    <col min="7446" max="7446" width="5.140625" style="628" customWidth="1"/>
    <col min="7447" max="7447" width="5.7109375" style="628" customWidth="1"/>
    <col min="7448" max="7448" width="5.42578125" style="628" customWidth="1"/>
    <col min="7449" max="7449" width="9" style="628" customWidth="1"/>
    <col min="7450" max="7450" width="0.140625" style="628" customWidth="1"/>
    <col min="7451" max="7451" width="0" style="628" hidden="1" customWidth="1"/>
    <col min="7452" max="7452" width="1.5703125" style="628" customWidth="1"/>
    <col min="7453" max="7453" width="93.140625" style="628" customWidth="1"/>
    <col min="7454" max="7455" width="12.85546875" style="628" customWidth="1"/>
    <col min="7456" max="7456" width="8.140625" style="628" customWidth="1"/>
    <col min="7457" max="7457" width="22.140625" style="628" customWidth="1"/>
    <col min="7458" max="7463" width="10.42578125" style="628" customWidth="1"/>
    <col min="7464" max="7558" width="9.140625" style="628"/>
    <col min="7559" max="7559" width="10.140625" style="628" bestFit="1" customWidth="1"/>
    <col min="7560" max="7562" width="9.140625" style="628"/>
    <col min="7563" max="7563" width="20" style="628" customWidth="1"/>
    <col min="7564" max="7680" width="9.140625" style="628"/>
    <col min="7681" max="7681" width="1.5703125" style="628" customWidth="1"/>
    <col min="7682" max="7682" width="3.5703125" style="628" customWidth="1"/>
    <col min="7683" max="7683" width="7.140625" style="628" customWidth="1"/>
    <col min="7684" max="7684" width="1.28515625" style="628" customWidth="1"/>
    <col min="7685" max="7686" width="6.140625" style="628" customWidth="1"/>
    <col min="7687" max="7687" width="5.7109375" style="628" customWidth="1"/>
    <col min="7688" max="7688" width="5" style="628" customWidth="1"/>
    <col min="7689" max="7689" width="4.85546875" style="628" customWidth="1"/>
    <col min="7690" max="7690" width="5.5703125" style="628" customWidth="1"/>
    <col min="7691" max="7691" width="4.85546875" style="628" customWidth="1"/>
    <col min="7692" max="7692" width="5.5703125" style="628" customWidth="1"/>
    <col min="7693" max="7693" width="2.28515625" style="628" customWidth="1"/>
    <col min="7694" max="7694" width="5.7109375" style="628" customWidth="1"/>
    <col min="7695" max="7695" width="8.28515625" style="628" customWidth="1"/>
    <col min="7696" max="7696" width="5.7109375" style="628" customWidth="1"/>
    <col min="7697" max="7699" width="6.28515625" style="628" customWidth="1"/>
    <col min="7700" max="7700" width="0.42578125" style="628" customWidth="1"/>
    <col min="7701" max="7701" width="5.42578125" style="628" customWidth="1"/>
    <col min="7702" max="7702" width="5.140625" style="628" customWidth="1"/>
    <col min="7703" max="7703" width="5.7109375" style="628" customWidth="1"/>
    <col min="7704" max="7704" width="5.42578125" style="628" customWidth="1"/>
    <col min="7705" max="7705" width="9" style="628" customWidth="1"/>
    <col min="7706" max="7706" width="0.140625" style="628" customWidth="1"/>
    <col min="7707" max="7707" width="0" style="628" hidden="1" customWidth="1"/>
    <col min="7708" max="7708" width="1.5703125" style="628" customWidth="1"/>
    <col min="7709" max="7709" width="93.140625" style="628" customWidth="1"/>
    <col min="7710" max="7711" width="12.85546875" style="628" customWidth="1"/>
    <col min="7712" max="7712" width="8.140625" style="628" customWidth="1"/>
    <col min="7713" max="7713" width="22.140625" style="628" customWidth="1"/>
    <col min="7714" max="7719" width="10.42578125" style="628" customWidth="1"/>
    <col min="7720" max="7814" width="9.140625" style="628"/>
    <col min="7815" max="7815" width="10.140625" style="628" bestFit="1" customWidth="1"/>
    <col min="7816" max="7818" width="9.140625" style="628"/>
    <col min="7819" max="7819" width="20" style="628" customWidth="1"/>
    <col min="7820" max="7936" width="9.140625" style="628"/>
    <col min="7937" max="7937" width="1.5703125" style="628" customWidth="1"/>
    <col min="7938" max="7938" width="3.5703125" style="628" customWidth="1"/>
    <col min="7939" max="7939" width="7.140625" style="628" customWidth="1"/>
    <col min="7940" max="7940" width="1.28515625" style="628" customWidth="1"/>
    <col min="7941" max="7942" width="6.140625" style="628" customWidth="1"/>
    <col min="7943" max="7943" width="5.7109375" style="628" customWidth="1"/>
    <col min="7944" max="7944" width="5" style="628" customWidth="1"/>
    <col min="7945" max="7945" width="4.85546875" style="628" customWidth="1"/>
    <col min="7946" max="7946" width="5.5703125" style="628" customWidth="1"/>
    <col min="7947" max="7947" width="4.85546875" style="628" customWidth="1"/>
    <col min="7948" max="7948" width="5.5703125" style="628" customWidth="1"/>
    <col min="7949" max="7949" width="2.28515625" style="628" customWidth="1"/>
    <col min="7950" max="7950" width="5.7109375" style="628" customWidth="1"/>
    <col min="7951" max="7951" width="8.28515625" style="628" customWidth="1"/>
    <col min="7952" max="7952" width="5.7109375" style="628" customWidth="1"/>
    <col min="7953" max="7955" width="6.28515625" style="628" customWidth="1"/>
    <col min="7956" max="7956" width="0.42578125" style="628" customWidth="1"/>
    <col min="7957" max="7957" width="5.42578125" style="628" customWidth="1"/>
    <col min="7958" max="7958" width="5.140625" style="628" customWidth="1"/>
    <col min="7959" max="7959" width="5.7109375" style="628" customWidth="1"/>
    <col min="7960" max="7960" width="5.42578125" style="628" customWidth="1"/>
    <col min="7961" max="7961" width="9" style="628" customWidth="1"/>
    <col min="7962" max="7962" width="0.140625" style="628" customWidth="1"/>
    <col min="7963" max="7963" width="0" style="628" hidden="1" customWidth="1"/>
    <col min="7964" max="7964" width="1.5703125" style="628" customWidth="1"/>
    <col min="7965" max="7965" width="93.140625" style="628" customWidth="1"/>
    <col min="7966" max="7967" width="12.85546875" style="628" customWidth="1"/>
    <col min="7968" max="7968" width="8.140625" style="628" customWidth="1"/>
    <col min="7969" max="7969" width="22.140625" style="628" customWidth="1"/>
    <col min="7970" max="7975" width="10.42578125" style="628" customWidth="1"/>
    <col min="7976" max="8070" width="9.140625" style="628"/>
    <col min="8071" max="8071" width="10.140625" style="628" bestFit="1" customWidth="1"/>
    <col min="8072" max="8074" width="9.140625" style="628"/>
    <col min="8075" max="8075" width="20" style="628" customWidth="1"/>
    <col min="8076" max="8192" width="9.140625" style="628"/>
    <col min="8193" max="8193" width="1.5703125" style="628" customWidth="1"/>
    <col min="8194" max="8194" width="3.5703125" style="628" customWidth="1"/>
    <col min="8195" max="8195" width="7.140625" style="628" customWidth="1"/>
    <col min="8196" max="8196" width="1.28515625" style="628" customWidth="1"/>
    <col min="8197" max="8198" width="6.140625" style="628" customWidth="1"/>
    <col min="8199" max="8199" width="5.7109375" style="628" customWidth="1"/>
    <col min="8200" max="8200" width="5" style="628" customWidth="1"/>
    <col min="8201" max="8201" width="4.85546875" style="628" customWidth="1"/>
    <col min="8202" max="8202" width="5.5703125" style="628" customWidth="1"/>
    <col min="8203" max="8203" width="4.85546875" style="628" customWidth="1"/>
    <col min="8204" max="8204" width="5.5703125" style="628" customWidth="1"/>
    <col min="8205" max="8205" width="2.28515625" style="628" customWidth="1"/>
    <col min="8206" max="8206" width="5.7109375" style="628" customWidth="1"/>
    <col min="8207" max="8207" width="8.28515625" style="628" customWidth="1"/>
    <col min="8208" max="8208" width="5.7109375" style="628" customWidth="1"/>
    <col min="8209" max="8211" width="6.28515625" style="628" customWidth="1"/>
    <col min="8212" max="8212" width="0.42578125" style="628" customWidth="1"/>
    <col min="8213" max="8213" width="5.42578125" style="628" customWidth="1"/>
    <col min="8214" max="8214" width="5.140625" style="628" customWidth="1"/>
    <col min="8215" max="8215" width="5.7109375" style="628" customWidth="1"/>
    <col min="8216" max="8216" width="5.42578125" style="628" customWidth="1"/>
    <col min="8217" max="8217" width="9" style="628" customWidth="1"/>
    <col min="8218" max="8218" width="0.140625" style="628" customWidth="1"/>
    <col min="8219" max="8219" width="0" style="628" hidden="1" customWidth="1"/>
    <col min="8220" max="8220" width="1.5703125" style="628" customWidth="1"/>
    <col min="8221" max="8221" width="93.140625" style="628" customWidth="1"/>
    <col min="8222" max="8223" width="12.85546875" style="628" customWidth="1"/>
    <col min="8224" max="8224" width="8.140625" style="628" customWidth="1"/>
    <col min="8225" max="8225" width="22.140625" style="628" customWidth="1"/>
    <col min="8226" max="8231" width="10.42578125" style="628" customWidth="1"/>
    <col min="8232" max="8326" width="9.140625" style="628"/>
    <col min="8327" max="8327" width="10.140625" style="628" bestFit="1" customWidth="1"/>
    <col min="8328" max="8330" width="9.140625" style="628"/>
    <col min="8331" max="8331" width="20" style="628" customWidth="1"/>
    <col min="8332" max="8448" width="9.140625" style="628"/>
    <col min="8449" max="8449" width="1.5703125" style="628" customWidth="1"/>
    <col min="8450" max="8450" width="3.5703125" style="628" customWidth="1"/>
    <col min="8451" max="8451" width="7.140625" style="628" customWidth="1"/>
    <col min="8452" max="8452" width="1.28515625" style="628" customWidth="1"/>
    <col min="8453" max="8454" width="6.140625" style="628" customWidth="1"/>
    <col min="8455" max="8455" width="5.7109375" style="628" customWidth="1"/>
    <col min="8456" max="8456" width="5" style="628" customWidth="1"/>
    <col min="8457" max="8457" width="4.85546875" style="628" customWidth="1"/>
    <col min="8458" max="8458" width="5.5703125" style="628" customWidth="1"/>
    <col min="8459" max="8459" width="4.85546875" style="628" customWidth="1"/>
    <col min="8460" max="8460" width="5.5703125" style="628" customWidth="1"/>
    <col min="8461" max="8461" width="2.28515625" style="628" customWidth="1"/>
    <col min="8462" max="8462" width="5.7109375" style="628" customWidth="1"/>
    <col min="8463" max="8463" width="8.28515625" style="628" customWidth="1"/>
    <col min="8464" max="8464" width="5.7109375" style="628" customWidth="1"/>
    <col min="8465" max="8467" width="6.28515625" style="628" customWidth="1"/>
    <col min="8468" max="8468" width="0.42578125" style="628" customWidth="1"/>
    <col min="8469" max="8469" width="5.42578125" style="628" customWidth="1"/>
    <col min="8470" max="8470" width="5.140625" style="628" customWidth="1"/>
    <col min="8471" max="8471" width="5.7109375" style="628" customWidth="1"/>
    <col min="8472" max="8472" width="5.42578125" style="628" customWidth="1"/>
    <col min="8473" max="8473" width="9" style="628" customWidth="1"/>
    <col min="8474" max="8474" width="0.140625" style="628" customWidth="1"/>
    <col min="8475" max="8475" width="0" style="628" hidden="1" customWidth="1"/>
    <col min="8476" max="8476" width="1.5703125" style="628" customWidth="1"/>
    <col min="8477" max="8477" width="93.140625" style="628" customWidth="1"/>
    <col min="8478" max="8479" width="12.85546875" style="628" customWidth="1"/>
    <col min="8480" max="8480" width="8.140625" style="628" customWidth="1"/>
    <col min="8481" max="8481" width="22.140625" style="628" customWidth="1"/>
    <col min="8482" max="8487" width="10.42578125" style="628" customWidth="1"/>
    <col min="8488" max="8582" width="9.140625" style="628"/>
    <col min="8583" max="8583" width="10.140625" style="628" bestFit="1" customWidth="1"/>
    <col min="8584" max="8586" width="9.140625" style="628"/>
    <col min="8587" max="8587" width="20" style="628" customWidth="1"/>
    <col min="8588" max="8704" width="9.140625" style="628"/>
    <col min="8705" max="8705" width="1.5703125" style="628" customWidth="1"/>
    <col min="8706" max="8706" width="3.5703125" style="628" customWidth="1"/>
    <col min="8707" max="8707" width="7.140625" style="628" customWidth="1"/>
    <col min="8708" max="8708" width="1.28515625" style="628" customWidth="1"/>
    <col min="8709" max="8710" width="6.140625" style="628" customWidth="1"/>
    <col min="8711" max="8711" width="5.7109375" style="628" customWidth="1"/>
    <col min="8712" max="8712" width="5" style="628" customWidth="1"/>
    <col min="8713" max="8713" width="4.85546875" style="628" customWidth="1"/>
    <col min="8714" max="8714" width="5.5703125" style="628" customWidth="1"/>
    <col min="8715" max="8715" width="4.85546875" style="628" customWidth="1"/>
    <col min="8716" max="8716" width="5.5703125" style="628" customWidth="1"/>
    <col min="8717" max="8717" width="2.28515625" style="628" customWidth="1"/>
    <col min="8718" max="8718" width="5.7109375" style="628" customWidth="1"/>
    <col min="8719" max="8719" width="8.28515625" style="628" customWidth="1"/>
    <col min="8720" max="8720" width="5.7109375" style="628" customWidth="1"/>
    <col min="8721" max="8723" width="6.28515625" style="628" customWidth="1"/>
    <col min="8724" max="8724" width="0.42578125" style="628" customWidth="1"/>
    <col min="8725" max="8725" width="5.42578125" style="628" customWidth="1"/>
    <col min="8726" max="8726" width="5.140625" style="628" customWidth="1"/>
    <col min="8727" max="8727" width="5.7109375" style="628" customWidth="1"/>
    <col min="8728" max="8728" width="5.42578125" style="628" customWidth="1"/>
    <col min="8729" max="8729" width="9" style="628" customWidth="1"/>
    <col min="8730" max="8730" width="0.140625" style="628" customWidth="1"/>
    <col min="8731" max="8731" width="0" style="628" hidden="1" customWidth="1"/>
    <col min="8732" max="8732" width="1.5703125" style="628" customWidth="1"/>
    <col min="8733" max="8733" width="93.140625" style="628" customWidth="1"/>
    <col min="8734" max="8735" width="12.85546875" style="628" customWidth="1"/>
    <col min="8736" max="8736" width="8.140625" style="628" customWidth="1"/>
    <col min="8737" max="8737" width="22.140625" style="628" customWidth="1"/>
    <col min="8738" max="8743" width="10.42578125" style="628" customWidth="1"/>
    <col min="8744" max="8838" width="9.140625" style="628"/>
    <col min="8839" max="8839" width="10.140625" style="628" bestFit="1" customWidth="1"/>
    <col min="8840" max="8842" width="9.140625" style="628"/>
    <col min="8843" max="8843" width="20" style="628" customWidth="1"/>
    <col min="8844" max="8960" width="9.140625" style="628"/>
    <col min="8961" max="8961" width="1.5703125" style="628" customWidth="1"/>
    <col min="8962" max="8962" width="3.5703125" style="628" customWidth="1"/>
    <col min="8963" max="8963" width="7.140625" style="628" customWidth="1"/>
    <col min="8964" max="8964" width="1.28515625" style="628" customWidth="1"/>
    <col min="8965" max="8966" width="6.140625" style="628" customWidth="1"/>
    <col min="8967" max="8967" width="5.7109375" style="628" customWidth="1"/>
    <col min="8968" max="8968" width="5" style="628" customWidth="1"/>
    <col min="8969" max="8969" width="4.85546875" style="628" customWidth="1"/>
    <col min="8970" max="8970" width="5.5703125" style="628" customWidth="1"/>
    <col min="8971" max="8971" width="4.85546875" style="628" customWidth="1"/>
    <col min="8972" max="8972" width="5.5703125" style="628" customWidth="1"/>
    <col min="8973" max="8973" width="2.28515625" style="628" customWidth="1"/>
    <col min="8974" max="8974" width="5.7109375" style="628" customWidth="1"/>
    <col min="8975" max="8975" width="8.28515625" style="628" customWidth="1"/>
    <col min="8976" max="8976" width="5.7109375" style="628" customWidth="1"/>
    <col min="8977" max="8979" width="6.28515625" style="628" customWidth="1"/>
    <col min="8980" max="8980" width="0.42578125" style="628" customWidth="1"/>
    <col min="8981" max="8981" width="5.42578125" style="628" customWidth="1"/>
    <col min="8982" max="8982" width="5.140625" style="628" customWidth="1"/>
    <col min="8983" max="8983" width="5.7109375" style="628" customWidth="1"/>
    <col min="8984" max="8984" width="5.42578125" style="628" customWidth="1"/>
    <col min="8985" max="8985" width="9" style="628" customWidth="1"/>
    <col min="8986" max="8986" width="0.140625" style="628" customWidth="1"/>
    <col min="8987" max="8987" width="0" style="628" hidden="1" customWidth="1"/>
    <col min="8988" max="8988" width="1.5703125" style="628" customWidth="1"/>
    <col min="8989" max="8989" width="93.140625" style="628" customWidth="1"/>
    <col min="8990" max="8991" width="12.85546875" style="628" customWidth="1"/>
    <col min="8992" max="8992" width="8.140625" style="628" customWidth="1"/>
    <col min="8993" max="8993" width="22.140625" style="628" customWidth="1"/>
    <col min="8994" max="8999" width="10.42578125" style="628" customWidth="1"/>
    <col min="9000" max="9094" width="9.140625" style="628"/>
    <col min="9095" max="9095" width="10.140625" style="628" bestFit="1" customWidth="1"/>
    <col min="9096" max="9098" width="9.140625" style="628"/>
    <col min="9099" max="9099" width="20" style="628" customWidth="1"/>
    <col min="9100" max="9216" width="9.140625" style="628"/>
    <col min="9217" max="9217" width="1.5703125" style="628" customWidth="1"/>
    <col min="9218" max="9218" width="3.5703125" style="628" customWidth="1"/>
    <col min="9219" max="9219" width="7.140625" style="628" customWidth="1"/>
    <col min="9220" max="9220" width="1.28515625" style="628" customWidth="1"/>
    <col min="9221" max="9222" width="6.140625" style="628" customWidth="1"/>
    <col min="9223" max="9223" width="5.7109375" style="628" customWidth="1"/>
    <col min="9224" max="9224" width="5" style="628" customWidth="1"/>
    <col min="9225" max="9225" width="4.85546875" style="628" customWidth="1"/>
    <col min="9226" max="9226" width="5.5703125" style="628" customWidth="1"/>
    <col min="9227" max="9227" width="4.85546875" style="628" customWidth="1"/>
    <col min="9228" max="9228" width="5.5703125" style="628" customWidth="1"/>
    <col min="9229" max="9229" width="2.28515625" style="628" customWidth="1"/>
    <col min="9230" max="9230" width="5.7109375" style="628" customWidth="1"/>
    <col min="9231" max="9231" width="8.28515625" style="628" customWidth="1"/>
    <col min="9232" max="9232" width="5.7109375" style="628" customWidth="1"/>
    <col min="9233" max="9235" width="6.28515625" style="628" customWidth="1"/>
    <col min="9236" max="9236" width="0.42578125" style="628" customWidth="1"/>
    <col min="9237" max="9237" width="5.42578125" style="628" customWidth="1"/>
    <col min="9238" max="9238" width="5.140625" style="628" customWidth="1"/>
    <col min="9239" max="9239" width="5.7109375" style="628" customWidth="1"/>
    <col min="9240" max="9240" width="5.42578125" style="628" customWidth="1"/>
    <col min="9241" max="9241" width="9" style="628" customWidth="1"/>
    <col min="9242" max="9242" width="0.140625" style="628" customWidth="1"/>
    <col min="9243" max="9243" width="0" style="628" hidden="1" customWidth="1"/>
    <col min="9244" max="9244" width="1.5703125" style="628" customWidth="1"/>
    <col min="9245" max="9245" width="93.140625" style="628" customWidth="1"/>
    <col min="9246" max="9247" width="12.85546875" style="628" customWidth="1"/>
    <col min="9248" max="9248" width="8.140625" style="628" customWidth="1"/>
    <col min="9249" max="9249" width="22.140625" style="628" customWidth="1"/>
    <col min="9250" max="9255" width="10.42578125" style="628" customWidth="1"/>
    <col min="9256" max="9350" width="9.140625" style="628"/>
    <col min="9351" max="9351" width="10.140625" style="628" bestFit="1" customWidth="1"/>
    <col min="9352" max="9354" width="9.140625" style="628"/>
    <col min="9355" max="9355" width="20" style="628" customWidth="1"/>
    <col min="9356" max="9472" width="9.140625" style="628"/>
    <col min="9473" max="9473" width="1.5703125" style="628" customWidth="1"/>
    <col min="9474" max="9474" width="3.5703125" style="628" customWidth="1"/>
    <col min="9475" max="9475" width="7.140625" style="628" customWidth="1"/>
    <col min="9476" max="9476" width="1.28515625" style="628" customWidth="1"/>
    <col min="9477" max="9478" width="6.140625" style="628" customWidth="1"/>
    <col min="9479" max="9479" width="5.7109375" style="628" customWidth="1"/>
    <col min="9480" max="9480" width="5" style="628" customWidth="1"/>
    <col min="9481" max="9481" width="4.85546875" style="628" customWidth="1"/>
    <col min="9482" max="9482" width="5.5703125" style="628" customWidth="1"/>
    <col min="9483" max="9483" width="4.85546875" style="628" customWidth="1"/>
    <col min="9484" max="9484" width="5.5703125" style="628" customWidth="1"/>
    <col min="9485" max="9485" width="2.28515625" style="628" customWidth="1"/>
    <col min="9486" max="9486" width="5.7109375" style="628" customWidth="1"/>
    <col min="9487" max="9487" width="8.28515625" style="628" customWidth="1"/>
    <col min="9488" max="9488" width="5.7109375" style="628" customWidth="1"/>
    <col min="9489" max="9491" width="6.28515625" style="628" customWidth="1"/>
    <col min="9492" max="9492" width="0.42578125" style="628" customWidth="1"/>
    <col min="9493" max="9493" width="5.42578125" style="628" customWidth="1"/>
    <col min="9494" max="9494" width="5.140625" style="628" customWidth="1"/>
    <col min="9495" max="9495" width="5.7109375" style="628" customWidth="1"/>
    <col min="9496" max="9496" width="5.42578125" style="628" customWidth="1"/>
    <col min="9497" max="9497" width="9" style="628" customWidth="1"/>
    <col min="9498" max="9498" width="0.140625" style="628" customWidth="1"/>
    <col min="9499" max="9499" width="0" style="628" hidden="1" customWidth="1"/>
    <col min="9500" max="9500" width="1.5703125" style="628" customWidth="1"/>
    <col min="9501" max="9501" width="93.140625" style="628" customWidth="1"/>
    <col min="9502" max="9503" width="12.85546875" style="628" customWidth="1"/>
    <col min="9504" max="9504" width="8.140625" style="628" customWidth="1"/>
    <col min="9505" max="9505" width="22.140625" style="628" customWidth="1"/>
    <col min="9506" max="9511" width="10.42578125" style="628" customWidth="1"/>
    <col min="9512" max="9606" width="9.140625" style="628"/>
    <col min="9607" max="9607" width="10.140625" style="628" bestFit="1" customWidth="1"/>
    <col min="9608" max="9610" width="9.140625" style="628"/>
    <col min="9611" max="9611" width="20" style="628" customWidth="1"/>
    <col min="9612" max="9728" width="9.140625" style="628"/>
    <col min="9729" max="9729" width="1.5703125" style="628" customWidth="1"/>
    <col min="9730" max="9730" width="3.5703125" style="628" customWidth="1"/>
    <col min="9731" max="9731" width="7.140625" style="628" customWidth="1"/>
    <col min="9732" max="9732" width="1.28515625" style="628" customWidth="1"/>
    <col min="9733" max="9734" width="6.140625" style="628" customWidth="1"/>
    <col min="9735" max="9735" width="5.7109375" style="628" customWidth="1"/>
    <col min="9736" max="9736" width="5" style="628" customWidth="1"/>
    <col min="9737" max="9737" width="4.85546875" style="628" customWidth="1"/>
    <col min="9738" max="9738" width="5.5703125" style="628" customWidth="1"/>
    <col min="9739" max="9739" width="4.85546875" style="628" customWidth="1"/>
    <col min="9740" max="9740" width="5.5703125" style="628" customWidth="1"/>
    <col min="9741" max="9741" width="2.28515625" style="628" customWidth="1"/>
    <col min="9742" max="9742" width="5.7109375" style="628" customWidth="1"/>
    <col min="9743" max="9743" width="8.28515625" style="628" customWidth="1"/>
    <col min="9744" max="9744" width="5.7109375" style="628" customWidth="1"/>
    <col min="9745" max="9747" width="6.28515625" style="628" customWidth="1"/>
    <col min="9748" max="9748" width="0.42578125" style="628" customWidth="1"/>
    <col min="9749" max="9749" width="5.42578125" style="628" customWidth="1"/>
    <col min="9750" max="9750" width="5.140625" style="628" customWidth="1"/>
    <col min="9751" max="9751" width="5.7109375" style="628" customWidth="1"/>
    <col min="9752" max="9752" width="5.42578125" style="628" customWidth="1"/>
    <col min="9753" max="9753" width="9" style="628" customWidth="1"/>
    <col min="9754" max="9754" width="0.140625" style="628" customWidth="1"/>
    <col min="9755" max="9755" width="0" style="628" hidden="1" customWidth="1"/>
    <col min="9756" max="9756" width="1.5703125" style="628" customWidth="1"/>
    <col min="9757" max="9757" width="93.140625" style="628" customWidth="1"/>
    <col min="9758" max="9759" width="12.85546875" style="628" customWidth="1"/>
    <col min="9760" max="9760" width="8.140625" style="628" customWidth="1"/>
    <col min="9761" max="9761" width="22.140625" style="628" customWidth="1"/>
    <col min="9762" max="9767" width="10.42578125" style="628" customWidth="1"/>
    <col min="9768" max="9862" width="9.140625" style="628"/>
    <col min="9863" max="9863" width="10.140625" style="628" bestFit="1" customWidth="1"/>
    <col min="9864" max="9866" width="9.140625" style="628"/>
    <col min="9867" max="9867" width="20" style="628" customWidth="1"/>
    <col min="9868" max="9984" width="9.140625" style="628"/>
    <col min="9985" max="9985" width="1.5703125" style="628" customWidth="1"/>
    <col min="9986" max="9986" width="3.5703125" style="628" customWidth="1"/>
    <col min="9987" max="9987" width="7.140625" style="628" customWidth="1"/>
    <col min="9988" max="9988" width="1.28515625" style="628" customWidth="1"/>
    <col min="9989" max="9990" width="6.140625" style="628" customWidth="1"/>
    <col min="9991" max="9991" width="5.7109375" style="628" customWidth="1"/>
    <col min="9992" max="9992" width="5" style="628" customWidth="1"/>
    <col min="9993" max="9993" width="4.85546875" style="628" customWidth="1"/>
    <col min="9994" max="9994" width="5.5703125" style="628" customWidth="1"/>
    <col min="9995" max="9995" width="4.85546875" style="628" customWidth="1"/>
    <col min="9996" max="9996" width="5.5703125" style="628" customWidth="1"/>
    <col min="9997" max="9997" width="2.28515625" style="628" customWidth="1"/>
    <col min="9998" max="9998" width="5.7109375" style="628" customWidth="1"/>
    <col min="9999" max="9999" width="8.28515625" style="628" customWidth="1"/>
    <col min="10000" max="10000" width="5.7109375" style="628" customWidth="1"/>
    <col min="10001" max="10003" width="6.28515625" style="628" customWidth="1"/>
    <col min="10004" max="10004" width="0.42578125" style="628" customWidth="1"/>
    <col min="10005" max="10005" width="5.42578125" style="628" customWidth="1"/>
    <col min="10006" max="10006" width="5.140625" style="628" customWidth="1"/>
    <col min="10007" max="10007" width="5.7109375" style="628" customWidth="1"/>
    <col min="10008" max="10008" width="5.42578125" style="628" customWidth="1"/>
    <col min="10009" max="10009" width="9" style="628" customWidth="1"/>
    <col min="10010" max="10010" width="0.140625" style="628" customWidth="1"/>
    <col min="10011" max="10011" width="0" style="628" hidden="1" customWidth="1"/>
    <col min="10012" max="10012" width="1.5703125" style="628" customWidth="1"/>
    <col min="10013" max="10013" width="93.140625" style="628" customWidth="1"/>
    <col min="10014" max="10015" width="12.85546875" style="628" customWidth="1"/>
    <col min="10016" max="10016" width="8.140625" style="628" customWidth="1"/>
    <col min="10017" max="10017" width="22.140625" style="628" customWidth="1"/>
    <col min="10018" max="10023" width="10.42578125" style="628" customWidth="1"/>
    <col min="10024" max="10118" width="9.140625" style="628"/>
    <col min="10119" max="10119" width="10.140625" style="628" bestFit="1" customWidth="1"/>
    <col min="10120" max="10122" width="9.140625" style="628"/>
    <col min="10123" max="10123" width="20" style="628" customWidth="1"/>
    <col min="10124" max="10240" width="9.140625" style="628"/>
    <col min="10241" max="10241" width="1.5703125" style="628" customWidth="1"/>
    <col min="10242" max="10242" width="3.5703125" style="628" customWidth="1"/>
    <col min="10243" max="10243" width="7.140625" style="628" customWidth="1"/>
    <col min="10244" max="10244" width="1.28515625" style="628" customWidth="1"/>
    <col min="10245" max="10246" width="6.140625" style="628" customWidth="1"/>
    <col min="10247" max="10247" width="5.7109375" style="628" customWidth="1"/>
    <col min="10248" max="10248" width="5" style="628" customWidth="1"/>
    <col min="10249" max="10249" width="4.85546875" style="628" customWidth="1"/>
    <col min="10250" max="10250" width="5.5703125" style="628" customWidth="1"/>
    <col min="10251" max="10251" width="4.85546875" style="628" customWidth="1"/>
    <col min="10252" max="10252" width="5.5703125" style="628" customWidth="1"/>
    <col min="10253" max="10253" width="2.28515625" style="628" customWidth="1"/>
    <col min="10254" max="10254" width="5.7109375" style="628" customWidth="1"/>
    <col min="10255" max="10255" width="8.28515625" style="628" customWidth="1"/>
    <col min="10256" max="10256" width="5.7109375" style="628" customWidth="1"/>
    <col min="10257" max="10259" width="6.28515625" style="628" customWidth="1"/>
    <col min="10260" max="10260" width="0.42578125" style="628" customWidth="1"/>
    <col min="10261" max="10261" width="5.42578125" style="628" customWidth="1"/>
    <col min="10262" max="10262" width="5.140625" style="628" customWidth="1"/>
    <col min="10263" max="10263" width="5.7109375" style="628" customWidth="1"/>
    <col min="10264" max="10264" width="5.42578125" style="628" customWidth="1"/>
    <col min="10265" max="10265" width="9" style="628" customWidth="1"/>
    <col min="10266" max="10266" width="0.140625" style="628" customWidth="1"/>
    <col min="10267" max="10267" width="0" style="628" hidden="1" customWidth="1"/>
    <col min="10268" max="10268" width="1.5703125" style="628" customWidth="1"/>
    <col min="10269" max="10269" width="93.140625" style="628" customWidth="1"/>
    <col min="10270" max="10271" width="12.85546875" style="628" customWidth="1"/>
    <col min="10272" max="10272" width="8.140625" style="628" customWidth="1"/>
    <col min="10273" max="10273" width="22.140625" style="628" customWidth="1"/>
    <col min="10274" max="10279" width="10.42578125" style="628" customWidth="1"/>
    <col min="10280" max="10374" width="9.140625" style="628"/>
    <col min="10375" max="10375" width="10.140625" style="628" bestFit="1" customWidth="1"/>
    <col min="10376" max="10378" width="9.140625" style="628"/>
    <col min="10379" max="10379" width="20" style="628" customWidth="1"/>
    <col min="10380" max="10496" width="9.140625" style="628"/>
    <col min="10497" max="10497" width="1.5703125" style="628" customWidth="1"/>
    <col min="10498" max="10498" width="3.5703125" style="628" customWidth="1"/>
    <col min="10499" max="10499" width="7.140625" style="628" customWidth="1"/>
    <col min="10500" max="10500" width="1.28515625" style="628" customWidth="1"/>
    <col min="10501" max="10502" width="6.140625" style="628" customWidth="1"/>
    <col min="10503" max="10503" width="5.7109375" style="628" customWidth="1"/>
    <col min="10504" max="10504" width="5" style="628" customWidth="1"/>
    <col min="10505" max="10505" width="4.85546875" style="628" customWidth="1"/>
    <col min="10506" max="10506" width="5.5703125" style="628" customWidth="1"/>
    <col min="10507" max="10507" width="4.85546875" style="628" customWidth="1"/>
    <col min="10508" max="10508" width="5.5703125" style="628" customWidth="1"/>
    <col min="10509" max="10509" width="2.28515625" style="628" customWidth="1"/>
    <col min="10510" max="10510" width="5.7109375" style="628" customWidth="1"/>
    <col min="10511" max="10511" width="8.28515625" style="628" customWidth="1"/>
    <col min="10512" max="10512" width="5.7109375" style="628" customWidth="1"/>
    <col min="10513" max="10515" width="6.28515625" style="628" customWidth="1"/>
    <col min="10516" max="10516" width="0.42578125" style="628" customWidth="1"/>
    <col min="10517" max="10517" width="5.42578125" style="628" customWidth="1"/>
    <col min="10518" max="10518" width="5.140625" style="628" customWidth="1"/>
    <col min="10519" max="10519" width="5.7109375" style="628" customWidth="1"/>
    <col min="10520" max="10520" width="5.42578125" style="628" customWidth="1"/>
    <col min="10521" max="10521" width="9" style="628" customWidth="1"/>
    <col min="10522" max="10522" width="0.140625" style="628" customWidth="1"/>
    <col min="10523" max="10523" width="0" style="628" hidden="1" customWidth="1"/>
    <col min="10524" max="10524" width="1.5703125" style="628" customWidth="1"/>
    <col min="10525" max="10525" width="93.140625" style="628" customWidth="1"/>
    <col min="10526" max="10527" width="12.85546875" style="628" customWidth="1"/>
    <col min="10528" max="10528" width="8.140625" style="628" customWidth="1"/>
    <col min="10529" max="10529" width="22.140625" style="628" customWidth="1"/>
    <col min="10530" max="10535" width="10.42578125" style="628" customWidth="1"/>
    <col min="10536" max="10630" width="9.140625" style="628"/>
    <col min="10631" max="10631" width="10.140625" style="628" bestFit="1" customWidth="1"/>
    <col min="10632" max="10634" width="9.140625" style="628"/>
    <col min="10635" max="10635" width="20" style="628" customWidth="1"/>
    <col min="10636" max="10752" width="9.140625" style="628"/>
    <col min="10753" max="10753" width="1.5703125" style="628" customWidth="1"/>
    <col min="10754" max="10754" width="3.5703125" style="628" customWidth="1"/>
    <col min="10755" max="10755" width="7.140625" style="628" customWidth="1"/>
    <col min="10756" max="10756" width="1.28515625" style="628" customWidth="1"/>
    <col min="10757" max="10758" width="6.140625" style="628" customWidth="1"/>
    <col min="10759" max="10759" width="5.7109375" style="628" customWidth="1"/>
    <col min="10760" max="10760" width="5" style="628" customWidth="1"/>
    <col min="10761" max="10761" width="4.85546875" style="628" customWidth="1"/>
    <col min="10762" max="10762" width="5.5703125" style="628" customWidth="1"/>
    <col min="10763" max="10763" width="4.85546875" style="628" customWidth="1"/>
    <col min="10764" max="10764" width="5.5703125" style="628" customWidth="1"/>
    <col min="10765" max="10765" width="2.28515625" style="628" customWidth="1"/>
    <col min="10766" max="10766" width="5.7109375" style="628" customWidth="1"/>
    <col min="10767" max="10767" width="8.28515625" style="628" customWidth="1"/>
    <col min="10768" max="10768" width="5.7109375" style="628" customWidth="1"/>
    <col min="10769" max="10771" width="6.28515625" style="628" customWidth="1"/>
    <col min="10772" max="10772" width="0.42578125" style="628" customWidth="1"/>
    <col min="10773" max="10773" width="5.42578125" style="628" customWidth="1"/>
    <col min="10774" max="10774" width="5.140625" style="628" customWidth="1"/>
    <col min="10775" max="10775" width="5.7109375" style="628" customWidth="1"/>
    <col min="10776" max="10776" width="5.42578125" style="628" customWidth="1"/>
    <col min="10777" max="10777" width="9" style="628" customWidth="1"/>
    <col min="10778" max="10778" width="0.140625" style="628" customWidth="1"/>
    <col min="10779" max="10779" width="0" style="628" hidden="1" customWidth="1"/>
    <col min="10780" max="10780" width="1.5703125" style="628" customWidth="1"/>
    <col min="10781" max="10781" width="93.140625" style="628" customWidth="1"/>
    <col min="10782" max="10783" width="12.85546875" style="628" customWidth="1"/>
    <col min="10784" max="10784" width="8.140625" style="628" customWidth="1"/>
    <col min="10785" max="10785" width="22.140625" style="628" customWidth="1"/>
    <col min="10786" max="10791" width="10.42578125" style="628" customWidth="1"/>
    <col min="10792" max="10886" width="9.140625" style="628"/>
    <col min="10887" max="10887" width="10.140625" style="628" bestFit="1" customWidth="1"/>
    <col min="10888" max="10890" width="9.140625" style="628"/>
    <col min="10891" max="10891" width="20" style="628" customWidth="1"/>
    <col min="10892" max="11008" width="9.140625" style="628"/>
    <col min="11009" max="11009" width="1.5703125" style="628" customWidth="1"/>
    <col min="11010" max="11010" width="3.5703125" style="628" customWidth="1"/>
    <col min="11011" max="11011" width="7.140625" style="628" customWidth="1"/>
    <col min="11012" max="11012" width="1.28515625" style="628" customWidth="1"/>
    <col min="11013" max="11014" width="6.140625" style="628" customWidth="1"/>
    <col min="11015" max="11015" width="5.7109375" style="628" customWidth="1"/>
    <col min="11016" max="11016" width="5" style="628" customWidth="1"/>
    <col min="11017" max="11017" width="4.85546875" style="628" customWidth="1"/>
    <col min="11018" max="11018" width="5.5703125" style="628" customWidth="1"/>
    <col min="11019" max="11019" width="4.85546875" style="628" customWidth="1"/>
    <col min="11020" max="11020" width="5.5703125" style="628" customWidth="1"/>
    <col min="11021" max="11021" width="2.28515625" style="628" customWidth="1"/>
    <col min="11022" max="11022" width="5.7109375" style="628" customWidth="1"/>
    <col min="11023" max="11023" width="8.28515625" style="628" customWidth="1"/>
    <col min="11024" max="11024" width="5.7109375" style="628" customWidth="1"/>
    <col min="11025" max="11027" width="6.28515625" style="628" customWidth="1"/>
    <col min="11028" max="11028" width="0.42578125" style="628" customWidth="1"/>
    <col min="11029" max="11029" width="5.42578125" style="628" customWidth="1"/>
    <col min="11030" max="11030" width="5.140625" style="628" customWidth="1"/>
    <col min="11031" max="11031" width="5.7109375" style="628" customWidth="1"/>
    <col min="11032" max="11032" width="5.42578125" style="628" customWidth="1"/>
    <col min="11033" max="11033" width="9" style="628" customWidth="1"/>
    <col min="11034" max="11034" width="0.140625" style="628" customWidth="1"/>
    <col min="11035" max="11035" width="0" style="628" hidden="1" customWidth="1"/>
    <col min="11036" max="11036" width="1.5703125" style="628" customWidth="1"/>
    <col min="11037" max="11037" width="93.140625" style="628" customWidth="1"/>
    <col min="11038" max="11039" width="12.85546875" style="628" customWidth="1"/>
    <col min="11040" max="11040" width="8.140625" style="628" customWidth="1"/>
    <col min="11041" max="11041" width="22.140625" style="628" customWidth="1"/>
    <col min="11042" max="11047" width="10.42578125" style="628" customWidth="1"/>
    <col min="11048" max="11142" width="9.140625" style="628"/>
    <col min="11143" max="11143" width="10.140625" style="628" bestFit="1" customWidth="1"/>
    <col min="11144" max="11146" width="9.140625" style="628"/>
    <col min="11147" max="11147" width="20" style="628" customWidth="1"/>
    <col min="11148" max="11264" width="9.140625" style="628"/>
    <col min="11265" max="11265" width="1.5703125" style="628" customWidth="1"/>
    <col min="11266" max="11266" width="3.5703125" style="628" customWidth="1"/>
    <col min="11267" max="11267" width="7.140625" style="628" customWidth="1"/>
    <col min="11268" max="11268" width="1.28515625" style="628" customWidth="1"/>
    <col min="11269" max="11270" width="6.140625" style="628" customWidth="1"/>
    <col min="11271" max="11271" width="5.7109375" style="628" customWidth="1"/>
    <col min="11272" max="11272" width="5" style="628" customWidth="1"/>
    <col min="11273" max="11273" width="4.85546875" style="628" customWidth="1"/>
    <col min="11274" max="11274" width="5.5703125" style="628" customWidth="1"/>
    <col min="11275" max="11275" width="4.85546875" style="628" customWidth="1"/>
    <col min="11276" max="11276" width="5.5703125" style="628" customWidth="1"/>
    <col min="11277" max="11277" width="2.28515625" style="628" customWidth="1"/>
    <col min="11278" max="11278" width="5.7109375" style="628" customWidth="1"/>
    <col min="11279" max="11279" width="8.28515625" style="628" customWidth="1"/>
    <col min="11280" max="11280" width="5.7109375" style="628" customWidth="1"/>
    <col min="11281" max="11283" width="6.28515625" style="628" customWidth="1"/>
    <col min="11284" max="11284" width="0.42578125" style="628" customWidth="1"/>
    <col min="11285" max="11285" width="5.42578125" style="628" customWidth="1"/>
    <col min="11286" max="11286" width="5.140625" style="628" customWidth="1"/>
    <col min="11287" max="11287" width="5.7109375" style="628" customWidth="1"/>
    <col min="11288" max="11288" width="5.42578125" style="628" customWidth="1"/>
    <col min="11289" max="11289" width="9" style="628" customWidth="1"/>
    <col min="11290" max="11290" width="0.140625" style="628" customWidth="1"/>
    <col min="11291" max="11291" width="0" style="628" hidden="1" customWidth="1"/>
    <col min="11292" max="11292" width="1.5703125" style="628" customWidth="1"/>
    <col min="11293" max="11293" width="93.140625" style="628" customWidth="1"/>
    <col min="11294" max="11295" width="12.85546875" style="628" customWidth="1"/>
    <col min="11296" max="11296" width="8.140625" style="628" customWidth="1"/>
    <col min="11297" max="11297" width="22.140625" style="628" customWidth="1"/>
    <col min="11298" max="11303" width="10.42578125" style="628" customWidth="1"/>
    <col min="11304" max="11398" width="9.140625" style="628"/>
    <col min="11399" max="11399" width="10.140625" style="628" bestFit="1" customWidth="1"/>
    <col min="11400" max="11402" width="9.140625" style="628"/>
    <col min="11403" max="11403" width="20" style="628" customWidth="1"/>
    <col min="11404" max="11520" width="9.140625" style="628"/>
    <col min="11521" max="11521" width="1.5703125" style="628" customWidth="1"/>
    <col min="11522" max="11522" width="3.5703125" style="628" customWidth="1"/>
    <col min="11523" max="11523" width="7.140625" style="628" customWidth="1"/>
    <col min="11524" max="11524" width="1.28515625" style="628" customWidth="1"/>
    <col min="11525" max="11526" width="6.140625" style="628" customWidth="1"/>
    <col min="11527" max="11527" width="5.7109375" style="628" customWidth="1"/>
    <col min="11528" max="11528" width="5" style="628" customWidth="1"/>
    <col min="11529" max="11529" width="4.85546875" style="628" customWidth="1"/>
    <col min="11530" max="11530" width="5.5703125" style="628" customWidth="1"/>
    <col min="11531" max="11531" width="4.85546875" style="628" customWidth="1"/>
    <col min="11532" max="11532" width="5.5703125" style="628" customWidth="1"/>
    <col min="11533" max="11533" width="2.28515625" style="628" customWidth="1"/>
    <col min="11534" max="11534" width="5.7109375" style="628" customWidth="1"/>
    <col min="11535" max="11535" width="8.28515625" style="628" customWidth="1"/>
    <col min="11536" max="11536" width="5.7109375" style="628" customWidth="1"/>
    <col min="11537" max="11539" width="6.28515625" style="628" customWidth="1"/>
    <col min="11540" max="11540" width="0.42578125" style="628" customWidth="1"/>
    <col min="11541" max="11541" width="5.42578125" style="628" customWidth="1"/>
    <col min="11542" max="11542" width="5.140625" style="628" customWidth="1"/>
    <col min="11543" max="11543" width="5.7109375" style="628" customWidth="1"/>
    <col min="11544" max="11544" width="5.42578125" style="628" customWidth="1"/>
    <col min="11545" max="11545" width="9" style="628" customWidth="1"/>
    <col min="11546" max="11546" width="0.140625" style="628" customWidth="1"/>
    <col min="11547" max="11547" width="0" style="628" hidden="1" customWidth="1"/>
    <col min="11548" max="11548" width="1.5703125" style="628" customWidth="1"/>
    <col min="11549" max="11549" width="93.140625" style="628" customWidth="1"/>
    <col min="11550" max="11551" width="12.85546875" style="628" customWidth="1"/>
    <col min="11552" max="11552" width="8.140625" style="628" customWidth="1"/>
    <col min="11553" max="11553" width="22.140625" style="628" customWidth="1"/>
    <col min="11554" max="11559" width="10.42578125" style="628" customWidth="1"/>
    <col min="11560" max="11654" width="9.140625" style="628"/>
    <col min="11655" max="11655" width="10.140625" style="628" bestFit="1" customWidth="1"/>
    <col min="11656" max="11658" width="9.140625" style="628"/>
    <col min="11659" max="11659" width="20" style="628" customWidth="1"/>
    <col min="11660" max="11776" width="9.140625" style="628"/>
    <col min="11777" max="11777" width="1.5703125" style="628" customWidth="1"/>
    <col min="11778" max="11778" width="3.5703125" style="628" customWidth="1"/>
    <col min="11779" max="11779" width="7.140625" style="628" customWidth="1"/>
    <col min="11780" max="11780" width="1.28515625" style="628" customWidth="1"/>
    <col min="11781" max="11782" width="6.140625" style="628" customWidth="1"/>
    <col min="11783" max="11783" width="5.7109375" style="628" customWidth="1"/>
    <col min="11784" max="11784" width="5" style="628" customWidth="1"/>
    <col min="11785" max="11785" width="4.85546875" style="628" customWidth="1"/>
    <col min="11786" max="11786" width="5.5703125" style="628" customWidth="1"/>
    <col min="11787" max="11787" width="4.85546875" style="628" customWidth="1"/>
    <col min="11788" max="11788" width="5.5703125" style="628" customWidth="1"/>
    <col min="11789" max="11789" width="2.28515625" style="628" customWidth="1"/>
    <col min="11790" max="11790" width="5.7109375" style="628" customWidth="1"/>
    <col min="11791" max="11791" width="8.28515625" style="628" customWidth="1"/>
    <col min="11792" max="11792" width="5.7109375" style="628" customWidth="1"/>
    <col min="11793" max="11795" width="6.28515625" style="628" customWidth="1"/>
    <col min="11796" max="11796" width="0.42578125" style="628" customWidth="1"/>
    <col min="11797" max="11797" width="5.42578125" style="628" customWidth="1"/>
    <col min="11798" max="11798" width="5.140625" style="628" customWidth="1"/>
    <col min="11799" max="11799" width="5.7109375" style="628" customWidth="1"/>
    <col min="11800" max="11800" width="5.42578125" style="628" customWidth="1"/>
    <col min="11801" max="11801" width="9" style="628" customWidth="1"/>
    <col min="11802" max="11802" width="0.140625" style="628" customWidth="1"/>
    <col min="11803" max="11803" width="0" style="628" hidden="1" customWidth="1"/>
    <col min="11804" max="11804" width="1.5703125" style="628" customWidth="1"/>
    <col min="11805" max="11805" width="93.140625" style="628" customWidth="1"/>
    <col min="11806" max="11807" width="12.85546875" style="628" customWidth="1"/>
    <col min="11808" max="11808" width="8.140625" style="628" customWidth="1"/>
    <col min="11809" max="11809" width="22.140625" style="628" customWidth="1"/>
    <col min="11810" max="11815" width="10.42578125" style="628" customWidth="1"/>
    <col min="11816" max="11910" width="9.140625" style="628"/>
    <col min="11911" max="11911" width="10.140625" style="628" bestFit="1" customWidth="1"/>
    <col min="11912" max="11914" width="9.140625" style="628"/>
    <col min="11915" max="11915" width="20" style="628" customWidth="1"/>
    <col min="11916" max="12032" width="9.140625" style="628"/>
    <col min="12033" max="12033" width="1.5703125" style="628" customWidth="1"/>
    <col min="12034" max="12034" width="3.5703125" style="628" customWidth="1"/>
    <col min="12035" max="12035" width="7.140625" style="628" customWidth="1"/>
    <col min="12036" max="12036" width="1.28515625" style="628" customWidth="1"/>
    <col min="12037" max="12038" width="6.140625" style="628" customWidth="1"/>
    <col min="12039" max="12039" width="5.7109375" style="628" customWidth="1"/>
    <col min="12040" max="12040" width="5" style="628" customWidth="1"/>
    <col min="12041" max="12041" width="4.85546875" style="628" customWidth="1"/>
    <col min="12042" max="12042" width="5.5703125" style="628" customWidth="1"/>
    <col min="12043" max="12043" width="4.85546875" style="628" customWidth="1"/>
    <col min="12044" max="12044" width="5.5703125" style="628" customWidth="1"/>
    <col min="12045" max="12045" width="2.28515625" style="628" customWidth="1"/>
    <col min="12046" max="12046" width="5.7109375" style="628" customWidth="1"/>
    <col min="12047" max="12047" width="8.28515625" style="628" customWidth="1"/>
    <col min="12048" max="12048" width="5.7109375" style="628" customWidth="1"/>
    <col min="12049" max="12051" width="6.28515625" style="628" customWidth="1"/>
    <col min="12052" max="12052" width="0.42578125" style="628" customWidth="1"/>
    <col min="12053" max="12053" width="5.42578125" style="628" customWidth="1"/>
    <col min="12054" max="12054" width="5.140625" style="628" customWidth="1"/>
    <col min="12055" max="12055" width="5.7109375" style="628" customWidth="1"/>
    <col min="12056" max="12056" width="5.42578125" style="628" customWidth="1"/>
    <col min="12057" max="12057" width="9" style="628" customWidth="1"/>
    <col min="12058" max="12058" width="0.140625" style="628" customWidth="1"/>
    <col min="12059" max="12059" width="0" style="628" hidden="1" customWidth="1"/>
    <col min="12060" max="12060" width="1.5703125" style="628" customWidth="1"/>
    <col min="12061" max="12061" width="93.140625" style="628" customWidth="1"/>
    <col min="12062" max="12063" width="12.85546875" style="628" customWidth="1"/>
    <col min="12064" max="12064" width="8.140625" style="628" customWidth="1"/>
    <col min="12065" max="12065" width="22.140625" style="628" customWidth="1"/>
    <col min="12066" max="12071" width="10.42578125" style="628" customWidth="1"/>
    <col min="12072" max="12166" width="9.140625" style="628"/>
    <col min="12167" max="12167" width="10.140625" style="628" bestFit="1" customWidth="1"/>
    <col min="12168" max="12170" width="9.140625" style="628"/>
    <col min="12171" max="12171" width="20" style="628" customWidth="1"/>
    <col min="12172" max="12288" width="9.140625" style="628"/>
    <col min="12289" max="12289" width="1.5703125" style="628" customWidth="1"/>
    <col min="12290" max="12290" width="3.5703125" style="628" customWidth="1"/>
    <col min="12291" max="12291" width="7.140625" style="628" customWidth="1"/>
    <col min="12292" max="12292" width="1.28515625" style="628" customWidth="1"/>
    <col min="12293" max="12294" width="6.140625" style="628" customWidth="1"/>
    <col min="12295" max="12295" width="5.7109375" style="628" customWidth="1"/>
    <col min="12296" max="12296" width="5" style="628" customWidth="1"/>
    <col min="12297" max="12297" width="4.85546875" style="628" customWidth="1"/>
    <col min="12298" max="12298" width="5.5703125" style="628" customWidth="1"/>
    <col min="12299" max="12299" width="4.85546875" style="628" customWidth="1"/>
    <col min="12300" max="12300" width="5.5703125" style="628" customWidth="1"/>
    <col min="12301" max="12301" width="2.28515625" style="628" customWidth="1"/>
    <col min="12302" max="12302" width="5.7109375" style="628" customWidth="1"/>
    <col min="12303" max="12303" width="8.28515625" style="628" customWidth="1"/>
    <col min="12304" max="12304" width="5.7109375" style="628" customWidth="1"/>
    <col min="12305" max="12307" width="6.28515625" style="628" customWidth="1"/>
    <col min="12308" max="12308" width="0.42578125" style="628" customWidth="1"/>
    <col min="12309" max="12309" width="5.42578125" style="628" customWidth="1"/>
    <col min="12310" max="12310" width="5.140625" style="628" customWidth="1"/>
    <col min="12311" max="12311" width="5.7109375" style="628" customWidth="1"/>
    <col min="12312" max="12312" width="5.42578125" style="628" customWidth="1"/>
    <col min="12313" max="12313" width="9" style="628" customWidth="1"/>
    <col min="12314" max="12314" width="0.140625" style="628" customWidth="1"/>
    <col min="12315" max="12315" width="0" style="628" hidden="1" customWidth="1"/>
    <col min="12316" max="12316" width="1.5703125" style="628" customWidth="1"/>
    <col min="12317" max="12317" width="93.140625" style="628" customWidth="1"/>
    <col min="12318" max="12319" width="12.85546875" style="628" customWidth="1"/>
    <col min="12320" max="12320" width="8.140625" style="628" customWidth="1"/>
    <col min="12321" max="12321" width="22.140625" style="628" customWidth="1"/>
    <col min="12322" max="12327" width="10.42578125" style="628" customWidth="1"/>
    <col min="12328" max="12422" width="9.140625" style="628"/>
    <col min="12423" max="12423" width="10.140625" style="628" bestFit="1" customWidth="1"/>
    <col min="12424" max="12426" width="9.140625" style="628"/>
    <col min="12427" max="12427" width="20" style="628" customWidth="1"/>
    <col min="12428" max="12544" width="9.140625" style="628"/>
    <col min="12545" max="12545" width="1.5703125" style="628" customWidth="1"/>
    <col min="12546" max="12546" width="3.5703125" style="628" customWidth="1"/>
    <col min="12547" max="12547" width="7.140625" style="628" customWidth="1"/>
    <col min="12548" max="12548" width="1.28515625" style="628" customWidth="1"/>
    <col min="12549" max="12550" width="6.140625" style="628" customWidth="1"/>
    <col min="12551" max="12551" width="5.7109375" style="628" customWidth="1"/>
    <col min="12552" max="12552" width="5" style="628" customWidth="1"/>
    <col min="12553" max="12553" width="4.85546875" style="628" customWidth="1"/>
    <col min="12554" max="12554" width="5.5703125" style="628" customWidth="1"/>
    <col min="12555" max="12555" width="4.85546875" style="628" customWidth="1"/>
    <col min="12556" max="12556" width="5.5703125" style="628" customWidth="1"/>
    <col min="12557" max="12557" width="2.28515625" style="628" customWidth="1"/>
    <col min="12558" max="12558" width="5.7109375" style="628" customWidth="1"/>
    <col min="12559" max="12559" width="8.28515625" style="628" customWidth="1"/>
    <col min="12560" max="12560" width="5.7109375" style="628" customWidth="1"/>
    <col min="12561" max="12563" width="6.28515625" style="628" customWidth="1"/>
    <col min="12564" max="12564" width="0.42578125" style="628" customWidth="1"/>
    <col min="12565" max="12565" width="5.42578125" style="628" customWidth="1"/>
    <col min="12566" max="12566" width="5.140625" style="628" customWidth="1"/>
    <col min="12567" max="12567" width="5.7109375" style="628" customWidth="1"/>
    <col min="12568" max="12568" width="5.42578125" style="628" customWidth="1"/>
    <col min="12569" max="12569" width="9" style="628" customWidth="1"/>
    <col min="12570" max="12570" width="0.140625" style="628" customWidth="1"/>
    <col min="12571" max="12571" width="0" style="628" hidden="1" customWidth="1"/>
    <col min="12572" max="12572" width="1.5703125" style="628" customWidth="1"/>
    <col min="12573" max="12573" width="93.140625" style="628" customWidth="1"/>
    <col min="12574" max="12575" width="12.85546875" style="628" customWidth="1"/>
    <col min="12576" max="12576" width="8.140625" style="628" customWidth="1"/>
    <col min="12577" max="12577" width="22.140625" style="628" customWidth="1"/>
    <col min="12578" max="12583" width="10.42578125" style="628" customWidth="1"/>
    <col min="12584" max="12678" width="9.140625" style="628"/>
    <col min="12679" max="12679" width="10.140625" style="628" bestFit="1" customWidth="1"/>
    <col min="12680" max="12682" width="9.140625" style="628"/>
    <col min="12683" max="12683" width="20" style="628" customWidth="1"/>
    <col min="12684" max="12800" width="9.140625" style="628"/>
    <col min="12801" max="12801" width="1.5703125" style="628" customWidth="1"/>
    <col min="12802" max="12802" width="3.5703125" style="628" customWidth="1"/>
    <col min="12803" max="12803" width="7.140625" style="628" customWidth="1"/>
    <col min="12804" max="12804" width="1.28515625" style="628" customWidth="1"/>
    <col min="12805" max="12806" width="6.140625" style="628" customWidth="1"/>
    <col min="12807" max="12807" width="5.7109375" style="628" customWidth="1"/>
    <col min="12808" max="12808" width="5" style="628" customWidth="1"/>
    <col min="12809" max="12809" width="4.85546875" style="628" customWidth="1"/>
    <col min="12810" max="12810" width="5.5703125" style="628" customWidth="1"/>
    <col min="12811" max="12811" width="4.85546875" style="628" customWidth="1"/>
    <col min="12812" max="12812" width="5.5703125" style="628" customWidth="1"/>
    <col min="12813" max="12813" width="2.28515625" style="628" customWidth="1"/>
    <col min="12814" max="12814" width="5.7109375" style="628" customWidth="1"/>
    <col min="12815" max="12815" width="8.28515625" style="628" customWidth="1"/>
    <col min="12816" max="12816" width="5.7109375" style="628" customWidth="1"/>
    <col min="12817" max="12819" width="6.28515625" style="628" customWidth="1"/>
    <col min="12820" max="12820" width="0.42578125" style="628" customWidth="1"/>
    <col min="12821" max="12821" width="5.42578125" style="628" customWidth="1"/>
    <col min="12822" max="12822" width="5.140625" style="628" customWidth="1"/>
    <col min="12823" max="12823" width="5.7109375" style="628" customWidth="1"/>
    <col min="12824" max="12824" width="5.42578125" style="628" customWidth="1"/>
    <col min="12825" max="12825" width="9" style="628" customWidth="1"/>
    <col min="12826" max="12826" width="0.140625" style="628" customWidth="1"/>
    <col min="12827" max="12827" width="0" style="628" hidden="1" customWidth="1"/>
    <col min="12828" max="12828" width="1.5703125" style="628" customWidth="1"/>
    <col min="12829" max="12829" width="93.140625" style="628" customWidth="1"/>
    <col min="12830" max="12831" width="12.85546875" style="628" customWidth="1"/>
    <col min="12832" max="12832" width="8.140625" style="628" customWidth="1"/>
    <col min="12833" max="12833" width="22.140625" style="628" customWidth="1"/>
    <col min="12834" max="12839" width="10.42578125" style="628" customWidth="1"/>
    <col min="12840" max="12934" width="9.140625" style="628"/>
    <col min="12935" max="12935" width="10.140625" style="628" bestFit="1" customWidth="1"/>
    <col min="12936" max="12938" width="9.140625" style="628"/>
    <col min="12939" max="12939" width="20" style="628" customWidth="1"/>
    <col min="12940" max="13056" width="9.140625" style="628"/>
    <col min="13057" max="13057" width="1.5703125" style="628" customWidth="1"/>
    <col min="13058" max="13058" width="3.5703125" style="628" customWidth="1"/>
    <col min="13059" max="13059" width="7.140625" style="628" customWidth="1"/>
    <col min="13060" max="13060" width="1.28515625" style="628" customWidth="1"/>
    <col min="13061" max="13062" width="6.140625" style="628" customWidth="1"/>
    <col min="13063" max="13063" width="5.7109375" style="628" customWidth="1"/>
    <col min="13064" max="13064" width="5" style="628" customWidth="1"/>
    <col min="13065" max="13065" width="4.85546875" style="628" customWidth="1"/>
    <col min="13066" max="13066" width="5.5703125" style="628" customWidth="1"/>
    <col min="13067" max="13067" width="4.85546875" style="628" customWidth="1"/>
    <col min="13068" max="13068" width="5.5703125" style="628" customWidth="1"/>
    <col min="13069" max="13069" width="2.28515625" style="628" customWidth="1"/>
    <col min="13070" max="13070" width="5.7109375" style="628" customWidth="1"/>
    <col min="13071" max="13071" width="8.28515625" style="628" customWidth="1"/>
    <col min="13072" max="13072" width="5.7109375" style="628" customWidth="1"/>
    <col min="13073" max="13075" width="6.28515625" style="628" customWidth="1"/>
    <col min="13076" max="13076" width="0.42578125" style="628" customWidth="1"/>
    <col min="13077" max="13077" width="5.42578125" style="628" customWidth="1"/>
    <col min="13078" max="13078" width="5.140625" style="628" customWidth="1"/>
    <col min="13079" max="13079" width="5.7109375" style="628" customWidth="1"/>
    <col min="13080" max="13080" width="5.42578125" style="628" customWidth="1"/>
    <col min="13081" max="13081" width="9" style="628" customWidth="1"/>
    <col min="13082" max="13082" width="0.140625" style="628" customWidth="1"/>
    <col min="13083" max="13083" width="0" style="628" hidden="1" customWidth="1"/>
    <col min="13084" max="13084" width="1.5703125" style="628" customWidth="1"/>
    <col min="13085" max="13085" width="93.140625" style="628" customWidth="1"/>
    <col min="13086" max="13087" width="12.85546875" style="628" customWidth="1"/>
    <col min="13088" max="13088" width="8.140625" style="628" customWidth="1"/>
    <col min="13089" max="13089" width="22.140625" style="628" customWidth="1"/>
    <col min="13090" max="13095" width="10.42578125" style="628" customWidth="1"/>
    <col min="13096" max="13190" width="9.140625" style="628"/>
    <col min="13191" max="13191" width="10.140625" style="628" bestFit="1" customWidth="1"/>
    <col min="13192" max="13194" width="9.140625" style="628"/>
    <col min="13195" max="13195" width="20" style="628" customWidth="1"/>
    <col min="13196" max="13312" width="9.140625" style="628"/>
    <col min="13313" max="13313" width="1.5703125" style="628" customWidth="1"/>
    <col min="13314" max="13314" width="3.5703125" style="628" customWidth="1"/>
    <col min="13315" max="13315" width="7.140625" style="628" customWidth="1"/>
    <col min="13316" max="13316" width="1.28515625" style="628" customWidth="1"/>
    <col min="13317" max="13318" width="6.140625" style="628" customWidth="1"/>
    <col min="13319" max="13319" width="5.7109375" style="628" customWidth="1"/>
    <col min="13320" max="13320" width="5" style="628" customWidth="1"/>
    <col min="13321" max="13321" width="4.85546875" style="628" customWidth="1"/>
    <col min="13322" max="13322" width="5.5703125" style="628" customWidth="1"/>
    <col min="13323" max="13323" width="4.85546875" style="628" customWidth="1"/>
    <col min="13324" max="13324" width="5.5703125" style="628" customWidth="1"/>
    <col min="13325" max="13325" width="2.28515625" style="628" customWidth="1"/>
    <col min="13326" max="13326" width="5.7109375" style="628" customWidth="1"/>
    <col min="13327" max="13327" width="8.28515625" style="628" customWidth="1"/>
    <col min="13328" max="13328" width="5.7109375" style="628" customWidth="1"/>
    <col min="13329" max="13331" width="6.28515625" style="628" customWidth="1"/>
    <col min="13332" max="13332" width="0.42578125" style="628" customWidth="1"/>
    <col min="13333" max="13333" width="5.42578125" style="628" customWidth="1"/>
    <col min="13334" max="13334" width="5.140625" style="628" customWidth="1"/>
    <col min="13335" max="13335" width="5.7109375" style="628" customWidth="1"/>
    <col min="13336" max="13336" width="5.42578125" style="628" customWidth="1"/>
    <col min="13337" max="13337" width="9" style="628" customWidth="1"/>
    <col min="13338" max="13338" width="0.140625" style="628" customWidth="1"/>
    <col min="13339" max="13339" width="0" style="628" hidden="1" customWidth="1"/>
    <col min="13340" max="13340" width="1.5703125" style="628" customWidth="1"/>
    <col min="13341" max="13341" width="93.140625" style="628" customWidth="1"/>
    <col min="13342" max="13343" width="12.85546875" style="628" customWidth="1"/>
    <col min="13344" max="13344" width="8.140625" style="628" customWidth="1"/>
    <col min="13345" max="13345" width="22.140625" style="628" customWidth="1"/>
    <col min="13346" max="13351" width="10.42578125" style="628" customWidth="1"/>
    <col min="13352" max="13446" width="9.140625" style="628"/>
    <col min="13447" max="13447" width="10.140625" style="628" bestFit="1" customWidth="1"/>
    <col min="13448" max="13450" width="9.140625" style="628"/>
    <col min="13451" max="13451" width="20" style="628" customWidth="1"/>
    <col min="13452" max="13568" width="9.140625" style="628"/>
    <col min="13569" max="13569" width="1.5703125" style="628" customWidth="1"/>
    <col min="13570" max="13570" width="3.5703125" style="628" customWidth="1"/>
    <col min="13571" max="13571" width="7.140625" style="628" customWidth="1"/>
    <col min="13572" max="13572" width="1.28515625" style="628" customWidth="1"/>
    <col min="13573" max="13574" width="6.140625" style="628" customWidth="1"/>
    <col min="13575" max="13575" width="5.7109375" style="628" customWidth="1"/>
    <col min="13576" max="13576" width="5" style="628" customWidth="1"/>
    <col min="13577" max="13577" width="4.85546875" style="628" customWidth="1"/>
    <col min="13578" max="13578" width="5.5703125" style="628" customWidth="1"/>
    <col min="13579" max="13579" width="4.85546875" style="628" customWidth="1"/>
    <col min="13580" max="13580" width="5.5703125" style="628" customWidth="1"/>
    <col min="13581" max="13581" width="2.28515625" style="628" customWidth="1"/>
    <col min="13582" max="13582" width="5.7109375" style="628" customWidth="1"/>
    <col min="13583" max="13583" width="8.28515625" style="628" customWidth="1"/>
    <col min="13584" max="13584" width="5.7109375" style="628" customWidth="1"/>
    <col min="13585" max="13587" width="6.28515625" style="628" customWidth="1"/>
    <col min="13588" max="13588" width="0.42578125" style="628" customWidth="1"/>
    <col min="13589" max="13589" width="5.42578125" style="628" customWidth="1"/>
    <col min="13590" max="13590" width="5.140625" style="628" customWidth="1"/>
    <col min="13591" max="13591" width="5.7109375" style="628" customWidth="1"/>
    <col min="13592" max="13592" width="5.42578125" style="628" customWidth="1"/>
    <col min="13593" max="13593" width="9" style="628" customWidth="1"/>
    <col min="13594" max="13594" width="0.140625" style="628" customWidth="1"/>
    <col min="13595" max="13595" width="0" style="628" hidden="1" customWidth="1"/>
    <col min="13596" max="13596" width="1.5703125" style="628" customWidth="1"/>
    <col min="13597" max="13597" width="93.140625" style="628" customWidth="1"/>
    <col min="13598" max="13599" width="12.85546875" style="628" customWidth="1"/>
    <col min="13600" max="13600" width="8.140625" style="628" customWidth="1"/>
    <col min="13601" max="13601" width="22.140625" style="628" customWidth="1"/>
    <col min="13602" max="13607" width="10.42578125" style="628" customWidth="1"/>
    <col min="13608" max="13702" width="9.140625" style="628"/>
    <col min="13703" max="13703" width="10.140625" style="628" bestFit="1" customWidth="1"/>
    <col min="13704" max="13706" width="9.140625" style="628"/>
    <col min="13707" max="13707" width="20" style="628" customWidth="1"/>
    <col min="13708" max="13824" width="9.140625" style="628"/>
    <col min="13825" max="13825" width="1.5703125" style="628" customWidth="1"/>
    <col min="13826" max="13826" width="3.5703125" style="628" customWidth="1"/>
    <col min="13827" max="13827" width="7.140625" style="628" customWidth="1"/>
    <col min="13828" max="13828" width="1.28515625" style="628" customWidth="1"/>
    <col min="13829" max="13830" width="6.140625" style="628" customWidth="1"/>
    <col min="13831" max="13831" width="5.7109375" style="628" customWidth="1"/>
    <col min="13832" max="13832" width="5" style="628" customWidth="1"/>
    <col min="13833" max="13833" width="4.85546875" style="628" customWidth="1"/>
    <col min="13834" max="13834" width="5.5703125" style="628" customWidth="1"/>
    <col min="13835" max="13835" width="4.85546875" style="628" customWidth="1"/>
    <col min="13836" max="13836" width="5.5703125" style="628" customWidth="1"/>
    <col min="13837" max="13837" width="2.28515625" style="628" customWidth="1"/>
    <col min="13838" max="13838" width="5.7109375" style="628" customWidth="1"/>
    <col min="13839" max="13839" width="8.28515625" style="628" customWidth="1"/>
    <col min="13840" max="13840" width="5.7109375" style="628" customWidth="1"/>
    <col min="13841" max="13843" width="6.28515625" style="628" customWidth="1"/>
    <col min="13844" max="13844" width="0.42578125" style="628" customWidth="1"/>
    <col min="13845" max="13845" width="5.42578125" style="628" customWidth="1"/>
    <col min="13846" max="13846" width="5.140625" style="628" customWidth="1"/>
    <col min="13847" max="13847" width="5.7109375" style="628" customWidth="1"/>
    <col min="13848" max="13848" width="5.42578125" style="628" customWidth="1"/>
    <col min="13849" max="13849" width="9" style="628" customWidth="1"/>
    <col min="13850" max="13850" width="0.140625" style="628" customWidth="1"/>
    <col min="13851" max="13851" width="0" style="628" hidden="1" customWidth="1"/>
    <col min="13852" max="13852" width="1.5703125" style="628" customWidth="1"/>
    <col min="13853" max="13853" width="93.140625" style="628" customWidth="1"/>
    <col min="13854" max="13855" width="12.85546875" style="628" customWidth="1"/>
    <col min="13856" max="13856" width="8.140625" style="628" customWidth="1"/>
    <col min="13857" max="13857" width="22.140625" style="628" customWidth="1"/>
    <col min="13858" max="13863" width="10.42578125" style="628" customWidth="1"/>
    <col min="13864" max="13958" width="9.140625" style="628"/>
    <col min="13959" max="13959" width="10.140625" style="628" bestFit="1" customWidth="1"/>
    <col min="13960" max="13962" width="9.140625" style="628"/>
    <col min="13963" max="13963" width="20" style="628" customWidth="1"/>
    <col min="13964" max="14080" width="9.140625" style="628"/>
    <col min="14081" max="14081" width="1.5703125" style="628" customWidth="1"/>
    <col min="14082" max="14082" width="3.5703125" style="628" customWidth="1"/>
    <col min="14083" max="14083" width="7.140625" style="628" customWidth="1"/>
    <col min="14084" max="14084" width="1.28515625" style="628" customWidth="1"/>
    <col min="14085" max="14086" width="6.140625" style="628" customWidth="1"/>
    <col min="14087" max="14087" width="5.7109375" style="628" customWidth="1"/>
    <col min="14088" max="14088" width="5" style="628" customWidth="1"/>
    <col min="14089" max="14089" width="4.85546875" style="628" customWidth="1"/>
    <col min="14090" max="14090" width="5.5703125" style="628" customWidth="1"/>
    <col min="14091" max="14091" width="4.85546875" style="628" customWidth="1"/>
    <col min="14092" max="14092" width="5.5703125" style="628" customWidth="1"/>
    <col min="14093" max="14093" width="2.28515625" style="628" customWidth="1"/>
    <col min="14094" max="14094" width="5.7109375" style="628" customWidth="1"/>
    <col min="14095" max="14095" width="8.28515625" style="628" customWidth="1"/>
    <col min="14096" max="14096" width="5.7109375" style="628" customWidth="1"/>
    <col min="14097" max="14099" width="6.28515625" style="628" customWidth="1"/>
    <col min="14100" max="14100" width="0.42578125" style="628" customWidth="1"/>
    <col min="14101" max="14101" width="5.42578125" style="628" customWidth="1"/>
    <col min="14102" max="14102" width="5.140625" style="628" customWidth="1"/>
    <col min="14103" max="14103" width="5.7109375" style="628" customWidth="1"/>
    <col min="14104" max="14104" width="5.42578125" style="628" customWidth="1"/>
    <col min="14105" max="14105" width="9" style="628" customWidth="1"/>
    <col min="14106" max="14106" width="0.140625" style="628" customWidth="1"/>
    <col min="14107" max="14107" width="0" style="628" hidden="1" customWidth="1"/>
    <col min="14108" max="14108" width="1.5703125" style="628" customWidth="1"/>
    <col min="14109" max="14109" width="93.140625" style="628" customWidth="1"/>
    <col min="14110" max="14111" width="12.85546875" style="628" customWidth="1"/>
    <col min="14112" max="14112" width="8.140625" style="628" customWidth="1"/>
    <col min="14113" max="14113" width="22.140625" style="628" customWidth="1"/>
    <col min="14114" max="14119" width="10.42578125" style="628" customWidth="1"/>
    <col min="14120" max="14214" width="9.140625" style="628"/>
    <col min="14215" max="14215" width="10.140625" style="628" bestFit="1" customWidth="1"/>
    <col min="14216" max="14218" width="9.140625" style="628"/>
    <col min="14219" max="14219" width="20" style="628" customWidth="1"/>
    <col min="14220" max="14336" width="9.140625" style="628"/>
    <col min="14337" max="14337" width="1.5703125" style="628" customWidth="1"/>
    <col min="14338" max="14338" width="3.5703125" style="628" customWidth="1"/>
    <col min="14339" max="14339" width="7.140625" style="628" customWidth="1"/>
    <col min="14340" max="14340" width="1.28515625" style="628" customWidth="1"/>
    <col min="14341" max="14342" width="6.140625" style="628" customWidth="1"/>
    <col min="14343" max="14343" width="5.7109375" style="628" customWidth="1"/>
    <col min="14344" max="14344" width="5" style="628" customWidth="1"/>
    <col min="14345" max="14345" width="4.85546875" style="628" customWidth="1"/>
    <col min="14346" max="14346" width="5.5703125" style="628" customWidth="1"/>
    <col min="14347" max="14347" width="4.85546875" style="628" customWidth="1"/>
    <col min="14348" max="14348" width="5.5703125" style="628" customWidth="1"/>
    <col min="14349" max="14349" width="2.28515625" style="628" customWidth="1"/>
    <col min="14350" max="14350" width="5.7109375" style="628" customWidth="1"/>
    <col min="14351" max="14351" width="8.28515625" style="628" customWidth="1"/>
    <col min="14352" max="14352" width="5.7109375" style="628" customWidth="1"/>
    <col min="14353" max="14355" width="6.28515625" style="628" customWidth="1"/>
    <col min="14356" max="14356" width="0.42578125" style="628" customWidth="1"/>
    <col min="14357" max="14357" width="5.42578125" style="628" customWidth="1"/>
    <col min="14358" max="14358" width="5.140625" style="628" customWidth="1"/>
    <col min="14359" max="14359" width="5.7109375" style="628" customWidth="1"/>
    <col min="14360" max="14360" width="5.42578125" style="628" customWidth="1"/>
    <col min="14361" max="14361" width="9" style="628" customWidth="1"/>
    <col min="14362" max="14362" width="0.140625" style="628" customWidth="1"/>
    <col min="14363" max="14363" width="0" style="628" hidden="1" customWidth="1"/>
    <col min="14364" max="14364" width="1.5703125" style="628" customWidth="1"/>
    <col min="14365" max="14365" width="93.140625" style="628" customWidth="1"/>
    <col min="14366" max="14367" width="12.85546875" style="628" customWidth="1"/>
    <col min="14368" max="14368" width="8.140625" style="628" customWidth="1"/>
    <col min="14369" max="14369" width="22.140625" style="628" customWidth="1"/>
    <col min="14370" max="14375" width="10.42578125" style="628" customWidth="1"/>
    <col min="14376" max="14470" width="9.140625" style="628"/>
    <col min="14471" max="14471" width="10.140625" style="628" bestFit="1" customWidth="1"/>
    <col min="14472" max="14474" width="9.140625" style="628"/>
    <col min="14475" max="14475" width="20" style="628" customWidth="1"/>
    <col min="14476" max="14592" width="9.140625" style="628"/>
    <col min="14593" max="14593" width="1.5703125" style="628" customWidth="1"/>
    <col min="14594" max="14594" width="3.5703125" style="628" customWidth="1"/>
    <col min="14595" max="14595" width="7.140625" style="628" customWidth="1"/>
    <col min="14596" max="14596" width="1.28515625" style="628" customWidth="1"/>
    <col min="14597" max="14598" width="6.140625" style="628" customWidth="1"/>
    <col min="14599" max="14599" width="5.7109375" style="628" customWidth="1"/>
    <col min="14600" max="14600" width="5" style="628" customWidth="1"/>
    <col min="14601" max="14601" width="4.85546875" style="628" customWidth="1"/>
    <col min="14602" max="14602" width="5.5703125" style="628" customWidth="1"/>
    <col min="14603" max="14603" width="4.85546875" style="628" customWidth="1"/>
    <col min="14604" max="14604" width="5.5703125" style="628" customWidth="1"/>
    <col min="14605" max="14605" width="2.28515625" style="628" customWidth="1"/>
    <col min="14606" max="14606" width="5.7109375" style="628" customWidth="1"/>
    <col min="14607" max="14607" width="8.28515625" style="628" customWidth="1"/>
    <col min="14608" max="14608" width="5.7109375" style="628" customWidth="1"/>
    <col min="14609" max="14611" width="6.28515625" style="628" customWidth="1"/>
    <col min="14612" max="14612" width="0.42578125" style="628" customWidth="1"/>
    <col min="14613" max="14613" width="5.42578125" style="628" customWidth="1"/>
    <col min="14614" max="14614" width="5.140625" style="628" customWidth="1"/>
    <col min="14615" max="14615" width="5.7109375" style="628" customWidth="1"/>
    <col min="14616" max="14616" width="5.42578125" style="628" customWidth="1"/>
    <col min="14617" max="14617" width="9" style="628" customWidth="1"/>
    <col min="14618" max="14618" width="0.140625" style="628" customWidth="1"/>
    <col min="14619" max="14619" width="0" style="628" hidden="1" customWidth="1"/>
    <col min="14620" max="14620" width="1.5703125" style="628" customWidth="1"/>
    <col min="14621" max="14621" width="93.140625" style="628" customWidth="1"/>
    <col min="14622" max="14623" width="12.85546875" style="628" customWidth="1"/>
    <col min="14624" max="14624" width="8.140625" style="628" customWidth="1"/>
    <col min="14625" max="14625" width="22.140625" style="628" customWidth="1"/>
    <col min="14626" max="14631" width="10.42578125" style="628" customWidth="1"/>
    <col min="14632" max="14726" width="9.140625" style="628"/>
    <col min="14727" max="14727" width="10.140625" style="628" bestFit="1" customWidth="1"/>
    <col min="14728" max="14730" width="9.140625" style="628"/>
    <col min="14731" max="14731" width="20" style="628" customWidth="1"/>
    <col min="14732" max="14848" width="9.140625" style="628"/>
    <col min="14849" max="14849" width="1.5703125" style="628" customWidth="1"/>
    <col min="14850" max="14850" width="3.5703125" style="628" customWidth="1"/>
    <col min="14851" max="14851" width="7.140625" style="628" customWidth="1"/>
    <col min="14852" max="14852" width="1.28515625" style="628" customWidth="1"/>
    <col min="14853" max="14854" width="6.140625" style="628" customWidth="1"/>
    <col min="14855" max="14855" width="5.7109375" style="628" customWidth="1"/>
    <col min="14856" max="14856" width="5" style="628" customWidth="1"/>
    <col min="14857" max="14857" width="4.85546875" style="628" customWidth="1"/>
    <col min="14858" max="14858" width="5.5703125" style="628" customWidth="1"/>
    <col min="14859" max="14859" width="4.85546875" style="628" customWidth="1"/>
    <col min="14860" max="14860" width="5.5703125" style="628" customWidth="1"/>
    <col min="14861" max="14861" width="2.28515625" style="628" customWidth="1"/>
    <col min="14862" max="14862" width="5.7109375" style="628" customWidth="1"/>
    <col min="14863" max="14863" width="8.28515625" style="628" customWidth="1"/>
    <col min="14864" max="14864" width="5.7109375" style="628" customWidth="1"/>
    <col min="14865" max="14867" width="6.28515625" style="628" customWidth="1"/>
    <col min="14868" max="14868" width="0.42578125" style="628" customWidth="1"/>
    <col min="14869" max="14869" width="5.42578125" style="628" customWidth="1"/>
    <col min="14870" max="14870" width="5.140625" style="628" customWidth="1"/>
    <col min="14871" max="14871" width="5.7109375" style="628" customWidth="1"/>
    <col min="14872" max="14872" width="5.42578125" style="628" customWidth="1"/>
    <col min="14873" max="14873" width="9" style="628" customWidth="1"/>
    <col min="14874" max="14874" width="0.140625" style="628" customWidth="1"/>
    <col min="14875" max="14875" width="0" style="628" hidden="1" customWidth="1"/>
    <col min="14876" max="14876" width="1.5703125" style="628" customWidth="1"/>
    <col min="14877" max="14877" width="93.140625" style="628" customWidth="1"/>
    <col min="14878" max="14879" width="12.85546875" style="628" customWidth="1"/>
    <col min="14880" max="14880" width="8.140625" style="628" customWidth="1"/>
    <col min="14881" max="14881" width="22.140625" style="628" customWidth="1"/>
    <col min="14882" max="14887" width="10.42578125" style="628" customWidth="1"/>
    <col min="14888" max="14982" width="9.140625" style="628"/>
    <col min="14983" max="14983" width="10.140625" style="628" bestFit="1" customWidth="1"/>
    <col min="14984" max="14986" width="9.140625" style="628"/>
    <col min="14987" max="14987" width="20" style="628" customWidth="1"/>
    <col min="14988" max="15104" width="9.140625" style="628"/>
    <col min="15105" max="15105" width="1.5703125" style="628" customWidth="1"/>
    <col min="15106" max="15106" width="3.5703125" style="628" customWidth="1"/>
    <col min="15107" max="15107" width="7.140625" style="628" customWidth="1"/>
    <col min="15108" max="15108" width="1.28515625" style="628" customWidth="1"/>
    <col min="15109" max="15110" width="6.140625" style="628" customWidth="1"/>
    <col min="15111" max="15111" width="5.7109375" style="628" customWidth="1"/>
    <col min="15112" max="15112" width="5" style="628" customWidth="1"/>
    <col min="15113" max="15113" width="4.85546875" style="628" customWidth="1"/>
    <col min="15114" max="15114" width="5.5703125" style="628" customWidth="1"/>
    <col min="15115" max="15115" width="4.85546875" style="628" customWidth="1"/>
    <col min="15116" max="15116" width="5.5703125" style="628" customWidth="1"/>
    <col min="15117" max="15117" width="2.28515625" style="628" customWidth="1"/>
    <col min="15118" max="15118" width="5.7109375" style="628" customWidth="1"/>
    <col min="15119" max="15119" width="8.28515625" style="628" customWidth="1"/>
    <col min="15120" max="15120" width="5.7109375" style="628" customWidth="1"/>
    <col min="15121" max="15123" width="6.28515625" style="628" customWidth="1"/>
    <col min="15124" max="15124" width="0.42578125" style="628" customWidth="1"/>
    <col min="15125" max="15125" width="5.42578125" style="628" customWidth="1"/>
    <col min="15126" max="15126" width="5.140625" style="628" customWidth="1"/>
    <col min="15127" max="15127" width="5.7109375" style="628" customWidth="1"/>
    <col min="15128" max="15128" width="5.42578125" style="628" customWidth="1"/>
    <col min="15129" max="15129" width="9" style="628" customWidth="1"/>
    <col min="15130" max="15130" width="0.140625" style="628" customWidth="1"/>
    <col min="15131" max="15131" width="0" style="628" hidden="1" customWidth="1"/>
    <col min="15132" max="15132" width="1.5703125" style="628" customWidth="1"/>
    <col min="15133" max="15133" width="93.140625" style="628" customWidth="1"/>
    <col min="15134" max="15135" width="12.85546875" style="628" customWidth="1"/>
    <col min="15136" max="15136" width="8.140625" style="628" customWidth="1"/>
    <col min="15137" max="15137" width="22.140625" style="628" customWidth="1"/>
    <col min="15138" max="15143" width="10.42578125" style="628" customWidth="1"/>
    <col min="15144" max="15238" width="9.140625" style="628"/>
    <col min="15239" max="15239" width="10.140625" style="628" bestFit="1" customWidth="1"/>
    <col min="15240" max="15242" width="9.140625" style="628"/>
    <col min="15243" max="15243" width="20" style="628" customWidth="1"/>
    <col min="15244" max="15360" width="9.140625" style="628"/>
    <col min="15361" max="15361" width="1.5703125" style="628" customWidth="1"/>
    <col min="15362" max="15362" width="3.5703125" style="628" customWidth="1"/>
    <col min="15363" max="15363" width="7.140625" style="628" customWidth="1"/>
    <col min="15364" max="15364" width="1.28515625" style="628" customWidth="1"/>
    <col min="15365" max="15366" width="6.140625" style="628" customWidth="1"/>
    <col min="15367" max="15367" width="5.7109375" style="628" customWidth="1"/>
    <col min="15368" max="15368" width="5" style="628" customWidth="1"/>
    <col min="15369" max="15369" width="4.85546875" style="628" customWidth="1"/>
    <col min="15370" max="15370" width="5.5703125" style="628" customWidth="1"/>
    <col min="15371" max="15371" width="4.85546875" style="628" customWidth="1"/>
    <col min="15372" max="15372" width="5.5703125" style="628" customWidth="1"/>
    <col min="15373" max="15373" width="2.28515625" style="628" customWidth="1"/>
    <col min="15374" max="15374" width="5.7109375" style="628" customWidth="1"/>
    <col min="15375" max="15375" width="8.28515625" style="628" customWidth="1"/>
    <col min="15376" max="15376" width="5.7109375" style="628" customWidth="1"/>
    <col min="15377" max="15379" width="6.28515625" style="628" customWidth="1"/>
    <col min="15380" max="15380" width="0.42578125" style="628" customWidth="1"/>
    <col min="15381" max="15381" width="5.42578125" style="628" customWidth="1"/>
    <col min="15382" max="15382" width="5.140625" style="628" customWidth="1"/>
    <col min="15383" max="15383" width="5.7109375" style="628" customWidth="1"/>
    <col min="15384" max="15384" width="5.42578125" style="628" customWidth="1"/>
    <col min="15385" max="15385" width="9" style="628" customWidth="1"/>
    <col min="15386" max="15386" width="0.140625" style="628" customWidth="1"/>
    <col min="15387" max="15387" width="0" style="628" hidden="1" customWidth="1"/>
    <col min="15388" max="15388" width="1.5703125" style="628" customWidth="1"/>
    <col min="15389" max="15389" width="93.140625" style="628" customWidth="1"/>
    <col min="15390" max="15391" width="12.85546875" style="628" customWidth="1"/>
    <col min="15392" max="15392" width="8.140625" style="628" customWidth="1"/>
    <col min="15393" max="15393" width="22.140625" style="628" customWidth="1"/>
    <col min="15394" max="15399" width="10.42578125" style="628" customWidth="1"/>
    <col min="15400" max="15494" width="9.140625" style="628"/>
    <col min="15495" max="15495" width="10.140625" style="628" bestFit="1" customWidth="1"/>
    <col min="15496" max="15498" width="9.140625" style="628"/>
    <col min="15499" max="15499" width="20" style="628" customWidth="1"/>
    <col min="15500" max="15616" width="9.140625" style="628"/>
    <col min="15617" max="15617" width="1.5703125" style="628" customWidth="1"/>
    <col min="15618" max="15618" width="3.5703125" style="628" customWidth="1"/>
    <col min="15619" max="15619" width="7.140625" style="628" customWidth="1"/>
    <col min="15620" max="15620" width="1.28515625" style="628" customWidth="1"/>
    <col min="15621" max="15622" width="6.140625" style="628" customWidth="1"/>
    <col min="15623" max="15623" width="5.7109375" style="628" customWidth="1"/>
    <col min="15624" max="15624" width="5" style="628" customWidth="1"/>
    <col min="15625" max="15625" width="4.85546875" style="628" customWidth="1"/>
    <col min="15626" max="15626" width="5.5703125" style="628" customWidth="1"/>
    <col min="15627" max="15627" width="4.85546875" style="628" customWidth="1"/>
    <col min="15628" max="15628" width="5.5703125" style="628" customWidth="1"/>
    <col min="15629" max="15629" width="2.28515625" style="628" customWidth="1"/>
    <col min="15630" max="15630" width="5.7109375" style="628" customWidth="1"/>
    <col min="15631" max="15631" width="8.28515625" style="628" customWidth="1"/>
    <col min="15632" max="15632" width="5.7109375" style="628" customWidth="1"/>
    <col min="15633" max="15635" width="6.28515625" style="628" customWidth="1"/>
    <col min="15636" max="15636" width="0.42578125" style="628" customWidth="1"/>
    <col min="15637" max="15637" width="5.42578125" style="628" customWidth="1"/>
    <col min="15638" max="15638" width="5.140625" style="628" customWidth="1"/>
    <col min="15639" max="15639" width="5.7109375" style="628" customWidth="1"/>
    <col min="15640" max="15640" width="5.42578125" style="628" customWidth="1"/>
    <col min="15641" max="15641" width="9" style="628" customWidth="1"/>
    <col min="15642" max="15642" width="0.140625" style="628" customWidth="1"/>
    <col min="15643" max="15643" width="0" style="628" hidden="1" customWidth="1"/>
    <col min="15644" max="15644" width="1.5703125" style="628" customWidth="1"/>
    <col min="15645" max="15645" width="93.140625" style="628" customWidth="1"/>
    <col min="15646" max="15647" width="12.85546875" style="628" customWidth="1"/>
    <col min="15648" max="15648" width="8.140625" style="628" customWidth="1"/>
    <col min="15649" max="15649" width="22.140625" style="628" customWidth="1"/>
    <col min="15650" max="15655" width="10.42578125" style="628" customWidth="1"/>
    <col min="15656" max="15750" width="9.140625" style="628"/>
    <col min="15751" max="15751" width="10.140625" style="628" bestFit="1" customWidth="1"/>
    <col min="15752" max="15754" width="9.140625" style="628"/>
    <col min="15755" max="15755" width="20" style="628" customWidth="1"/>
    <col min="15756" max="15872" width="9.140625" style="628"/>
    <col min="15873" max="15873" width="1.5703125" style="628" customWidth="1"/>
    <col min="15874" max="15874" width="3.5703125" style="628" customWidth="1"/>
    <col min="15875" max="15875" width="7.140625" style="628" customWidth="1"/>
    <col min="15876" max="15876" width="1.28515625" style="628" customWidth="1"/>
    <col min="15877" max="15878" width="6.140625" style="628" customWidth="1"/>
    <col min="15879" max="15879" width="5.7109375" style="628" customWidth="1"/>
    <col min="15880" max="15880" width="5" style="628" customWidth="1"/>
    <col min="15881" max="15881" width="4.85546875" style="628" customWidth="1"/>
    <col min="15882" max="15882" width="5.5703125" style="628" customWidth="1"/>
    <col min="15883" max="15883" width="4.85546875" style="628" customWidth="1"/>
    <col min="15884" max="15884" width="5.5703125" style="628" customWidth="1"/>
    <col min="15885" max="15885" width="2.28515625" style="628" customWidth="1"/>
    <col min="15886" max="15886" width="5.7109375" style="628" customWidth="1"/>
    <col min="15887" max="15887" width="8.28515625" style="628" customWidth="1"/>
    <col min="15888" max="15888" width="5.7109375" style="628" customWidth="1"/>
    <col min="15889" max="15891" width="6.28515625" style="628" customWidth="1"/>
    <col min="15892" max="15892" width="0.42578125" style="628" customWidth="1"/>
    <col min="15893" max="15893" width="5.42578125" style="628" customWidth="1"/>
    <col min="15894" max="15894" width="5.140625" style="628" customWidth="1"/>
    <col min="15895" max="15895" width="5.7109375" style="628" customWidth="1"/>
    <col min="15896" max="15896" width="5.42578125" style="628" customWidth="1"/>
    <col min="15897" max="15897" width="9" style="628" customWidth="1"/>
    <col min="15898" max="15898" width="0.140625" style="628" customWidth="1"/>
    <col min="15899" max="15899" width="0" style="628" hidden="1" customWidth="1"/>
    <col min="15900" max="15900" width="1.5703125" style="628" customWidth="1"/>
    <col min="15901" max="15901" width="93.140625" style="628" customWidth="1"/>
    <col min="15902" max="15903" width="12.85546875" style="628" customWidth="1"/>
    <col min="15904" max="15904" width="8.140625" style="628" customWidth="1"/>
    <col min="15905" max="15905" width="22.140625" style="628" customWidth="1"/>
    <col min="15906" max="15911" width="10.42578125" style="628" customWidth="1"/>
    <col min="15912" max="16006" width="9.140625" style="628"/>
    <col min="16007" max="16007" width="10.140625" style="628" bestFit="1" customWidth="1"/>
    <col min="16008" max="16010" width="9.140625" style="628"/>
    <col min="16011" max="16011" width="20" style="628" customWidth="1"/>
    <col min="16012" max="16128" width="9.140625" style="628"/>
    <col min="16129" max="16129" width="1.5703125" style="628" customWidth="1"/>
    <col min="16130" max="16130" width="3.5703125" style="628" customWidth="1"/>
    <col min="16131" max="16131" width="7.140625" style="628" customWidth="1"/>
    <col min="16132" max="16132" width="1.28515625" style="628" customWidth="1"/>
    <col min="16133" max="16134" width="6.140625" style="628" customWidth="1"/>
    <col min="16135" max="16135" width="5.7109375" style="628" customWidth="1"/>
    <col min="16136" max="16136" width="5" style="628" customWidth="1"/>
    <col min="16137" max="16137" width="4.85546875" style="628" customWidth="1"/>
    <col min="16138" max="16138" width="5.5703125" style="628" customWidth="1"/>
    <col min="16139" max="16139" width="4.85546875" style="628" customWidth="1"/>
    <col min="16140" max="16140" width="5.5703125" style="628" customWidth="1"/>
    <col min="16141" max="16141" width="2.28515625" style="628" customWidth="1"/>
    <col min="16142" max="16142" width="5.7109375" style="628" customWidth="1"/>
    <col min="16143" max="16143" width="8.28515625" style="628" customWidth="1"/>
    <col min="16144" max="16144" width="5.7109375" style="628" customWidth="1"/>
    <col min="16145" max="16147" width="6.28515625" style="628" customWidth="1"/>
    <col min="16148" max="16148" width="0.42578125" style="628" customWidth="1"/>
    <col min="16149" max="16149" width="5.42578125" style="628" customWidth="1"/>
    <col min="16150" max="16150" width="5.140625" style="628" customWidth="1"/>
    <col min="16151" max="16151" width="5.7109375" style="628" customWidth="1"/>
    <col min="16152" max="16152" width="5.42578125" style="628" customWidth="1"/>
    <col min="16153" max="16153" width="9" style="628" customWidth="1"/>
    <col min="16154" max="16154" width="0.140625" style="628" customWidth="1"/>
    <col min="16155" max="16155" width="0" style="628" hidden="1" customWidth="1"/>
    <col min="16156" max="16156" width="1.5703125" style="628" customWidth="1"/>
    <col min="16157" max="16157" width="93.140625" style="628" customWidth="1"/>
    <col min="16158" max="16159" width="12.85546875" style="628" customWidth="1"/>
    <col min="16160" max="16160" width="8.140625" style="628" customWidth="1"/>
    <col min="16161" max="16161" width="22.140625" style="628" customWidth="1"/>
    <col min="16162" max="16167" width="10.42578125" style="628" customWidth="1"/>
    <col min="16168" max="16262" width="9.140625" style="628"/>
    <col min="16263" max="16263" width="10.140625" style="628" bestFit="1" customWidth="1"/>
    <col min="16264" max="16266" width="9.140625" style="628"/>
    <col min="16267" max="16267" width="20" style="628" customWidth="1"/>
    <col min="16268" max="16384" width="9.140625" style="628"/>
  </cols>
  <sheetData>
    <row r="1" spans="1:153" ht="13.5" thickBot="1"/>
    <row r="2" spans="1:153" ht="120" customHeight="1" thickBot="1">
      <c r="E2" s="734"/>
      <c r="F2" s="735"/>
      <c r="G2" s="735"/>
      <c r="H2" s="735"/>
      <c r="I2" s="735"/>
      <c r="J2" s="735"/>
      <c r="K2" s="735"/>
      <c r="L2" s="735"/>
      <c r="M2" s="735"/>
      <c r="N2" s="735"/>
      <c r="O2" s="735"/>
      <c r="P2" s="735"/>
      <c r="Q2" s="736"/>
      <c r="AC2" s="246"/>
    </row>
    <row r="3" spans="1:153" ht="9.75" customHeight="1">
      <c r="A3" s="628"/>
      <c r="H3" s="358" t="s">
        <v>2</v>
      </c>
      <c r="S3" s="1078" t="s">
        <v>2</v>
      </c>
      <c r="T3" s="1079"/>
      <c r="U3" s="1079"/>
      <c r="V3" s="1079"/>
      <c r="W3" s="1079"/>
      <c r="X3" s="1078"/>
      <c r="Y3" s="257">
        <v>1</v>
      </c>
      <c r="AC3" s="246"/>
    </row>
    <row r="4" spans="1:153" ht="32.25" customHeight="1">
      <c r="A4" s="628"/>
      <c r="F4" s="258" t="s">
        <v>2</v>
      </c>
      <c r="N4" s="259"/>
      <c r="AC4" s="246"/>
      <c r="EE4" s="696">
        <f ca="1">TODAY()</f>
        <v>42260</v>
      </c>
      <c r="EO4" s="633"/>
      <c r="EP4" s="633"/>
      <c r="EQ4" s="633"/>
      <c r="ER4" s="633"/>
      <c r="ES4" s="633"/>
      <c r="ET4" s="633"/>
      <c r="EU4" s="633"/>
      <c r="EV4" s="633"/>
      <c r="EW4" s="633"/>
    </row>
    <row r="5" spans="1:153" ht="21" hidden="1" thickBot="1">
      <c r="A5" s="628"/>
      <c r="F5" s="1080" t="s">
        <v>2</v>
      </c>
      <c r="G5" s="1081"/>
      <c r="H5" s="1082" t="s">
        <v>2</v>
      </c>
      <c r="I5" s="1083"/>
      <c r="J5" s="1083"/>
      <c r="K5" s="1083"/>
      <c r="L5" s="1083"/>
      <c r="M5" s="1083"/>
      <c r="N5" s="1083"/>
      <c r="O5" s="1083"/>
      <c r="P5" s="1083"/>
      <c r="Q5" s="1083"/>
      <c r="R5" s="1083"/>
      <c r="S5" s="1083"/>
      <c r="T5" s="1083"/>
      <c r="U5" s="1083"/>
      <c r="V5" s="1083"/>
      <c r="W5" s="1083"/>
      <c r="X5" s="1083"/>
      <c r="Y5" s="1084"/>
      <c r="AC5" s="246"/>
      <c r="EO5" s="633"/>
      <c r="EP5" s="633"/>
      <c r="EQ5" s="633"/>
      <c r="ER5" s="633"/>
      <c r="ES5" s="633"/>
      <c r="ET5" s="633"/>
      <c r="EU5" s="633"/>
      <c r="EV5" s="633"/>
      <c r="EW5" s="633"/>
    </row>
    <row r="6" spans="1:153" ht="12" customHeight="1" thickBot="1">
      <c r="AC6" s="246"/>
      <c r="AD6" s="262" t="s">
        <v>59</v>
      </c>
      <c r="AE6" s="262"/>
      <c r="AF6" s="262"/>
      <c r="EO6" s="633"/>
      <c r="EP6" s="633"/>
      <c r="EQ6" s="633"/>
      <c r="ER6" s="633"/>
      <c r="ES6" s="633"/>
      <c r="ET6" s="633"/>
      <c r="EU6" s="633"/>
      <c r="EV6" s="633"/>
      <c r="EW6" s="633"/>
    </row>
    <row r="7" spans="1:153" ht="13.5" hidden="1" thickBot="1">
      <c r="AC7" s="246"/>
      <c r="EO7" s="633"/>
      <c r="EP7" s="633"/>
      <c r="EQ7" s="633"/>
      <c r="ER7" s="633"/>
      <c r="ES7" s="633"/>
      <c r="ET7" s="633"/>
      <c r="EU7" s="633"/>
      <c r="EV7" s="633"/>
      <c r="EW7" s="633"/>
    </row>
    <row r="8" spans="1:153" ht="36" customHeight="1" thickBot="1">
      <c r="E8" s="302" t="s">
        <v>2</v>
      </c>
      <c r="F8" s="1072" t="str">
        <f>EQUIPEMENTS!F8</f>
        <v xml:space="preserve"> </v>
      </c>
      <c r="G8" s="1073"/>
      <c r="H8" s="1073"/>
      <c r="I8" s="1073"/>
      <c r="J8" s="1073"/>
      <c r="K8" s="1073"/>
      <c r="L8" s="1073"/>
      <c r="M8" s="1073"/>
      <c r="N8" s="1073"/>
      <c r="O8" s="1073"/>
      <c r="P8" s="1074"/>
      <c r="AA8" s="264">
        <f>IF($N$15&gt;24999,5,0)</f>
        <v>0</v>
      </c>
      <c r="AC8" s="246"/>
      <c r="AD8" s="1085" t="str">
        <f>[1]APPLICATION!K165</f>
        <v xml:space="preserve"> </v>
      </c>
      <c r="AE8" s="1085"/>
      <c r="AF8" s="1085"/>
      <c r="AG8" s="1085"/>
      <c r="AH8" s="1085"/>
      <c r="AI8" s="1085"/>
      <c r="AJ8" s="1085"/>
      <c r="AK8" s="1085"/>
      <c r="AL8" s="1085"/>
      <c r="AM8" s="1085"/>
      <c r="AN8" s="1085"/>
      <c r="EO8" s="633"/>
      <c r="EP8" s="633"/>
      <c r="EQ8" s="633"/>
      <c r="ER8" s="633"/>
      <c r="ES8" s="633"/>
      <c r="ET8" s="633"/>
      <c r="EU8" s="633"/>
      <c r="EV8" s="633"/>
      <c r="EW8" s="633"/>
    </row>
    <row r="9" spans="1:153" ht="6.75" customHeight="1" thickBot="1">
      <c r="E9" s="263"/>
      <c r="AA9" s="264"/>
      <c r="EO9" s="633"/>
      <c r="EP9" s="633"/>
      <c r="EQ9" s="633"/>
      <c r="ER9" s="633"/>
      <c r="ES9" s="633"/>
      <c r="ET9" s="633"/>
      <c r="EU9" s="633"/>
      <c r="EV9" s="633"/>
      <c r="EW9" s="633"/>
    </row>
    <row r="10" spans="1:153" ht="15.75" customHeight="1" thickBot="1">
      <c r="E10" s="302" t="s">
        <v>2</v>
      </c>
      <c r="F10" s="1072" t="str">
        <f>EQUIPEMENTS!F10</f>
        <v xml:space="preserve"> </v>
      </c>
      <c r="G10" s="1073"/>
      <c r="H10" s="1073"/>
      <c r="I10" s="1073"/>
      <c r="J10" s="1073"/>
      <c r="K10" s="1073"/>
      <c r="L10" s="1073"/>
      <c r="M10" s="1073"/>
      <c r="N10" s="1073"/>
      <c r="O10" s="1073"/>
      <c r="P10" s="1074"/>
      <c r="Q10" s="628" t="s">
        <v>2</v>
      </c>
      <c r="AA10" s="264">
        <f>IF($N$15&gt;0,10,0)</f>
        <v>0</v>
      </c>
      <c r="AC10" s="514" t="s">
        <v>2</v>
      </c>
      <c r="AD10" s="262" t="s">
        <v>58</v>
      </c>
      <c r="AE10" s="262"/>
      <c r="AF10" s="262"/>
      <c r="EO10" s="633"/>
      <c r="EP10" s="633"/>
      <c r="EQ10" s="633"/>
      <c r="ER10" s="633"/>
      <c r="ES10" s="633"/>
      <c r="ET10" s="633"/>
      <c r="EU10" s="633"/>
      <c r="EV10" s="633"/>
      <c r="EW10" s="633"/>
    </row>
    <row r="11" spans="1:153" ht="17.25" customHeight="1" thickBot="1">
      <c r="E11" s="302" t="s">
        <v>2</v>
      </c>
      <c r="F11" s="1072" t="str">
        <f>EQUIPEMENTS!F11</f>
        <v xml:space="preserve"> </v>
      </c>
      <c r="G11" s="1073"/>
      <c r="H11" s="1073"/>
      <c r="I11" s="1073"/>
      <c r="J11" s="1073"/>
      <c r="K11" s="1073"/>
      <c r="L11" s="1073"/>
      <c r="M11" s="1073"/>
      <c r="N11" s="1073"/>
      <c r="O11" s="1073"/>
      <c r="P11" s="1074"/>
      <c r="AA11" s="264">
        <f>IF($N$15&gt;149999,0,0)</f>
        <v>0</v>
      </c>
      <c r="AC11" s="246"/>
      <c r="AD11" s="1068" t="str">
        <f>[1]APPLICATION!K134</f>
        <v xml:space="preserve"> </v>
      </c>
      <c r="AE11" s="1068"/>
      <c r="AF11" s="1068"/>
      <c r="AG11" s="1068"/>
      <c r="AH11" s="1068"/>
      <c r="AI11" s="1068"/>
      <c r="AJ11" s="1068"/>
      <c r="AK11" s="1068"/>
      <c r="AL11" s="1068"/>
      <c r="AM11" s="1068"/>
      <c r="AN11" s="1068"/>
      <c r="EO11" s="633"/>
      <c r="EP11" s="633"/>
      <c r="EQ11" s="633"/>
      <c r="ER11" s="633"/>
      <c r="ES11" s="633"/>
      <c r="ET11" s="633"/>
      <c r="EU11" s="633"/>
      <c r="EV11" s="633"/>
      <c r="EW11" s="633"/>
    </row>
    <row r="12" spans="1:153" ht="6.75" customHeight="1">
      <c r="E12" s="263"/>
      <c r="AA12" s="264"/>
      <c r="AC12" s="246"/>
      <c r="AD12" s="266"/>
      <c r="AE12" s="266"/>
      <c r="AF12" s="266"/>
      <c r="AG12" s="267"/>
      <c r="AH12" s="267"/>
      <c r="AI12" s="267"/>
      <c r="AJ12" s="267"/>
      <c r="AK12" s="267"/>
      <c r="AL12" s="267"/>
      <c r="AM12" s="267"/>
      <c r="AN12" s="267"/>
      <c r="EO12" s="633"/>
      <c r="EP12" s="633"/>
      <c r="EQ12" s="633"/>
      <c r="ER12" s="633"/>
      <c r="ES12" s="633"/>
      <c r="ET12" s="633"/>
      <c r="EU12" s="633"/>
      <c r="EV12" s="633"/>
      <c r="EW12" s="633"/>
    </row>
    <row r="13" spans="1:153" ht="15.75" hidden="1" customHeight="1">
      <c r="E13" s="263" t="s">
        <v>6</v>
      </c>
      <c r="F13" s="838" t="s">
        <v>2</v>
      </c>
      <c r="G13" s="839"/>
      <c r="H13" s="840"/>
      <c r="M13" s="263" t="s">
        <v>71</v>
      </c>
      <c r="N13" s="1075" t="str">
        <f>[1]APPLICATION!N13</f>
        <v>NONE</v>
      </c>
      <c r="O13" s="1076"/>
      <c r="P13" s="1077"/>
      <c r="AA13" s="264">
        <f>IF(P17="x",0,0)</f>
        <v>0</v>
      </c>
      <c r="AC13" s="246"/>
      <c r="AD13" s="1068">
        <f>[1]APPLICATION!K135</f>
        <v>0</v>
      </c>
      <c r="AE13" s="1068"/>
      <c r="AF13" s="1068"/>
      <c r="AG13" s="1068"/>
      <c r="AH13" s="1068"/>
      <c r="AI13" s="1068"/>
      <c r="AJ13" s="1068"/>
      <c r="AK13" s="1068"/>
      <c r="AL13" s="1068"/>
      <c r="AM13" s="1068"/>
      <c r="AN13" s="1068"/>
      <c r="EO13" s="633"/>
      <c r="EP13" s="633"/>
      <c r="EQ13" s="633"/>
      <c r="ER13" s="633"/>
      <c r="ES13" s="633"/>
      <c r="ET13" s="633"/>
      <c r="EU13" s="633"/>
      <c r="EV13" s="633"/>
      <c r="EW13" s="633"/>
    </row>
    <row r="14" spans="1:153" ht="12.75" hidden="1" customHeight="1">
      <c r="E14" s="263"/>
      <c r="M14" s="302" t="s">
        <v>593</v>
      </c>
      <c r="AA14" s="264"/>
      <c r="AC14" s="246"/>
      <c r="AD14" s="266"/>
      <c r="AE14" s="266"/>
      <c r="AF14" s="266"/>
      <c r="AG14" s="267"/>
      <c r="AH14" s="267"/>
      <c r="AI14" s="267"/>
      <c r="AJ14" s="267"/>
      <c r="AK14" s="267"/>
      <c r="AL14" s="267"/>
      <c r="AM14" s="267"/>
      <c r="AN14" s="267"/>
      <c r="EO14" s="633"/>
      <c r="EP14" s="633"/>
      <c r="EQ14" s="633"/>
      <c r="ER14" s="633"/>
      <c r="ES14" s="633"/>
      <c r="ET14" s="633"/>
      <c r="EU14" s="633"/>
      <c r="EV14" s="633"/>
      <c r="EW14" s="633"/>
    </row>
    <row r="15" spans="1:153" ht="15.75" hidden="1" customHeight="1">
      <c r="E15" s="302" t="s">
        <v>594</v>
      </c>
      <c r="F15" s="1062" t="str">
        <f>[1]APPLICATION!F15</f>
        <v xml:space="preserve"> </v>
      </c>
      <c r="G15" s="1063"/>
      <c r="H15" s="1064"/>
      <c r="M15" s="263" t="s">
        <v>595</v>
      </c>
      <c r="N15" s="1065">
        <f>[1]APPLICATION!N15</f>
        <v>0</v>
      </c>
      <c r="O15" s="1066"/>
      <c r="P15" s="1067"/>
      <c r="S15" s="628" t="s">
        <v>2</v>
      </c>
      <c r="AA15" s="264">
        <f>SUM(AA8:AA13)</f>
        <v>0</v>
      </c>
      <c r="AD15" s="1068">
        <f>[1]APPLICATION!K137</f>
        <v>0</v>
      </c>
      <c r="AE15" s="1068"/>
      <c r="AF15" s="1068"/>
      <c r="AG15" s="1068"/>
      <c r="AH15" s="1068"/>
      <c r="AI15" s="1068"/>
      <c r="AJ15" s="1068"/>
      <c r="AK15" s="1068"/>
      <c r="AL15" s="1068"/>
      <c r="AM15" s="1068"/>
      <c r="AN15" s="1068"/>
      <c r="EO15" s="633"/>
      <c r="EP15" s="633"/>
      <c r="EQ15" s="633"/>
      <c r="ER15" s="633"/>
      <c r="ES15" s="633"/>
      <c r="ET15" s="633"/>
      <c r="EU15" s="633"/>
      <c r="EV15" s="633"/>
      <c r="EW15" s="633"/>
    </row>
    <row r="16" spans="1:153" ht="9.75" hidden="1" customHeight="1">
      <c r="P16" s="694" t="s">
        <v>2</v>
      </c>
      <c r="EO16" s="633"/>
      <c r="EP16" s="633"/>
      <c r="EQ16" s="633"/>
      <c r="ER16" s="633"/>
      <c r="ES16" s="633"/>
      <c r="ET16" s="633"/>
      <c r="EU16" s="633"/>
      <c r="EV16" s="633"/>
      <c r="EW16" s="633"/>
    </row>
    <row r="17" spans="1:153" ht="3.75" customHeight="1">
      <c r="J17" s="457"/>
      <c r="K17" s="457"/>
      <c r="L17" s="457"/>
      <c r="M17" s="458" t="s">
        <v>70</v>
      </c>
      <c r="N17" s="459" t="s">
        <v>10</v>
      </c>
      <c r="O17" s="268"/>
      <c r="P17" s="269"/>
      <c r="Q17" s="269"/>
      <c r="R17" s="1069" t="s">
        <v>222</v>
      </c>
      <c r="S17" s="834"/>
      <c r="T17" s="834"/>
      <c r="U17" s="834"/>
      <c r="V17" s="834"/>
      <c r="W17" s="834"/>
      <c r="X17" s="834"/>
      <c r="Y17" s="834"/>
      <c r="Z17" s="255">
        <f>AO49</f>
        <v>0</v>
      </c>
      <c r="EO17" s="633"/>
      <c r="EP17" s="633"/>
      <c r="EQ17" s="633"/>
      <c r="ER17" s="633"/>
      <c r="ES17" s="633"/>
      <c r="ET17" s="633"/>
      <c r="EU17" s="633"/>
      <c r="EV17" s="633"/>
      <c r="EW17" s="633"/>
    </row>
    <row r="18" spans="1:153" ht="6.75" customHeight="1">
      <c r="N18" s="697" t="str">
        <f>N17</f>
        <v>5</v>
      </c>
      <c r="O18" s="271" t="s">
        <v>2</v>
      </c>
      <c r="P18" s="272" t="s">
        <v>2</v>
      </c>
      <c r="Q18" s="693"/>
      <c r="Z18" s="693"/>
      <c r="EO18" s="633"/>
      <c r="EP18" s="633"/>
      <c r="EQ18" s="633"/>
      <c r="ER18" s="633"/>
      <c r="ES18" s="633"/>
      <c r="ET18" s="633"/>
      <c r="EU18" s="633"/>
      <c r="EV18" s="633"/>
      <c r="EW18" s="633"/>
    </row>
    <row r="19" spans="1:153" ht="36" customHeight="1">
      <c r="C19" s="258" t="s">
        <v>445</v>
      </c>
      <c r="N19" s="697"/>
      <c r="O19" s="271"/>
      <c r="P19" s="272"/>
      <c r="Q19" s="693"/>
      <c r="Z19" s="693"/>
      <c r="EO19" s="633"/>
      <c r="EP19" s="633"/>
      <c r="EQ19" s="633"/>
      <c r="ER19" s="633"/>
      <c r="ES19" s="633"/>
      <c r="ET19" s="633"/>
      <c r="EU19" s="633"/>
      <c r="EV19" s="633"/>
      <c r="EW19" s="633"/>
    </row>
    <row r="20" spans="1:153" ht="11.25" customHeight="1">
      <c r="N20" s="697"/>
      <c r="O20" s="271"/>
      <c r="P20" s="272"/>
      <c r="Q20" s="693"/>
      <c r="Z20" s="693"/>
      <c r="EO20" s="633"/>
      <c r="EP20" s="633"/>
      <c r="EQ20" s="633"/>
      <c r="ER20" s="633"/>
      <c r="ES20" s="633"/>
      <c r="ET20" s="633"/>
      <c r="EU20" s="633"/>
      <c r="EV20" s="633"/>
      <c r="EW20" s="633"/>
    </row>
    <row r="21" spans="1:153" ht="3.75" customHeight="1">
      <c r="EO21" s="633"/>
      <c r="EP21" s="633"/>
      <c r="EQ21" s="633"/>
      <c r="ER21" s="633"/>
      <c r="ES21" s="633"/>
      <c r="ET21" s="633"/>
      <c r="EU21" s="633"/>
      <c r="EV21" s="633"/>
      <c r="EW21" s="633"/>
    </row>
    <row r="22" spans="1:153" s="637" customFormat="1" ht="80.25" customHeight="1">
      <c r="A22" s="274"/>
      <c r="B22" s="402" t="s">
        <v>11</v>
      </c>
      <c r="C22" s="550" t="s">
        <v>420</v>
      </c>
      <c r="D22" s="1070" t="s">
        <v>421</v>
      </c>
      <c r="E22" s="1070"/>
      <c r="F22" s="1070"/>
      <c r="G22" s="1070" t="s">
        <v>14</v>
      </c>
      <c r="H22" s="1070"/>
      <c r="I22" s="1070"/>
      <c r="J22" s="1070" t="s">
        <v>485</v>
      </c>
      <c r="K22" s="1070"/>
      <c r="L22" s="1070"/>
      <c r="M22" s="1070" t="s">
        <v>484</v>
      </c>
      <c r="N22" s="1070"/>
      <c r="O22" s="1070"/>
      <c r="P22" s="1070" t="s">
        <v>423</v>
      </c>
      <c r="Q22" s="1071"/>
      <c r="R22" s="550" t="s">
        <v>446</v>
      </c>
      <c r="S22" s="550"/>
      <c r="T22" s="402"/>
      <c r="U22" s="733" t="s">
        <v>425</v>
      </c>
      <c r="V22" s="733" t="s">
        <v>635</v>
      </c>
      <c r="W22" s="733" t="s">
        <v>587</v>
      </c>
      <c r="X22" s="733" t="s">
        <v>552</v>
      </c>
      <c r="Y22" s="732" t="s">
        <v>633</v>
      </c>
      <c r="Z22" s="605" t="s">
        <v>448</v>
      </c>
      <c r="AA22" s="401" t="s">
        <v>255</v>
      </c>
      <c r="AB22" s="629"/>
      <c r="AC22" s="275"/>
      <c r="AD22" s="276" t="s">
        <v>230</v>
      </c>
      <c r="AE22" s="277"/>
      <c r="AF22" s="278"/>
      <c r="AG22" s="279"/>
      <c r="AH22" s="280">
        <f>[1]APPLICATION!K166</f>
        <v>0</v>
      </c>
      <c r="AI22" s="280"/>
      <c r="AJ22" s="280"/>
      <c r="AK22" s="280"/>
      <c r="AL22" s="280"/>
      <c r="AM22" s="280"/>
      <c r="AN22" s="279">
        <f>IF([1]APPLICATION!Z21&gt;3000,0.2,0)</f>
        <v>0</v>
      </c>
      <c r="AO22" s="279"/>
      <c r="AP22" s="279"/>
      <c r="AQ22" s="279"/>
      <c r="AR22" s="279"/>
      <c r="AS22" s="279"/>
      <c r="AT22" s="279"/>
      <c r="AU22" s="279"/>
      <c r="AV22" s="279"/>
      <c r="AW22" s="279"/>
      <c r="AX22" s="279"/>
      <c r="AY22" s="279"/>
      <c r="AZ22" s="279"/>
      <c r="BA22" s="279"/>
      <c r="BB22" s="279"/>
      <c r="BC22" s="279"/>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row>
    <row r="23" spans="1:153" ht="6" customHeight="1">
      <c r="C23" s="628" t="s">
        <v>2</v>
      </c>
      <c r="M23" s="628" t="s">
        <v>2</v>
      </c>
      <c r="N23" s="628" t="s">
        <v>2</v>
      </c>
      <c r="W23" s="628" t="s">
        <v>2</v>
      </c>
      <c r="AF23" s="281"/>
      <c r="AG23" s="279"/>
      <c r="AH23" s="280"/>
      <c r="AI23" s="280"/>
      <c r="AJ23" s="280"/>
      <c r="AK23" s="280"/>
      <c r="AL23" s="280"/>
      <c r="AM23" s="280"/>
      <c r="AN23" s="279"/>
      <c r="EO23" s="633"/>
      <c r="EP23" s="633"/>
      <c r="EQ23" s="633"/>
      <c r="ER23" s="633"/>
      <c r="ES23" s="633"/>
      <c r="ET23" s="633"/>
      <c r="EU23" s="633"/>
      <c r="EV23" s="633"/>
      <c r="EW23" s="633"/>
    </row>
    <row r="24" spans="1:153" ht="15.75" customHeight="1">
      <c r="A24" s="283">
        <f t="shared" ref="A24:A48" si="0">IF(C24&gt;0,1,0)</f>
        <v>0</v>
      </c>
      <c r="B24" s="284">
        <v>1</v>
      </c>
      <c r="C24" s="403">
        <f>EQUIPEMENTS!C24</f>
        <v>0</v>
      </c>
      <c r="D24" s="1048" t="str">
        <f>EQUIPEMENTS!D24</f>
        <v xml:space="preserve"> </v>
      </c>
      <c r="E24" s="1049"/>
      <c r="F24" s="1050"/>
      <c r="G24" s="1051" t="str">
        <f>EQUIPEMENTS!G24</f>
        <v xml:space="preserve"> </v>
      </c>
      <c r="H24" s="1052"/>
      <c r="I24" s="1053"/>
      <c r="J24" s="1054" t="str">
        <f>EQUIPEMENTS!J24</f>
        <v xml:space="preserve"> </v>
      </c>
      <c r="K24" s="1052"/>
      <c r="L24" s="1053"/>
      <c r="M24" s="1055" t="str">
        <f>EQUIPEMENTS!M24</f>
        <v xml:space="preserve"> </v>
      </c>
      <c r="N24" s="1056"/>
      <c r="O24" s="1057"/>
      <c r="P24" s="1058">
        <f>[2]EQUIPEMENTS!P24</f>
        <v>9.9999999999999995E-8</v>
      </c>
      <c r="Q24" s="1059"/>
      <c r="R24" s="1060">
        <f>[2]EQUIPEMENTS!R24</f>
        <v>1500</v>
      </c>
      <c r="S24" s="1061"/>
      <c r="T24" s="285">
        <f t="shared" ref="T24" si="1">IF(AA24="Y",1,0)</f>
        <v>0</v>
      </c>
      <c r="U24" s="698" t="str">
        <f>EQUIPEMENTS!U24</f>
        <v>N</v>
      </c>
      <c r="V24" s="698" t="str">
        <f>EQUIPEMENTS!V24</f>
        <v>N</v>
      </c>
      <c r="W24" s="485" t="str">
        <f>EQUIPEMENTS!W24</f>
        <v>O</v>
      </c>
      <c r="X24" s="698" t="str">
        <f>EQUIPEMENTS!X24</f>
        <v>O</v>
      </c>
      <c r="Y24" s="699">
        <f>EQUIPEMENTS!Y24</f>
        <v>4.9999999999999982E-11</v>
      </c>
      <c r="Z24" s="700">
        <f>Y24/P24*100</f>
        <v>4.9999999999999982E-2</v>
      </c>
      <c r="AA24" s="701" t="str">
        <f t="shared" ref="AA24:AA48" si="2">IF(P24&gt;$AD$233,"Y","N")</f>
        <v>N</v>
      </c>
      <c r="AC24" s="287"/>
      <c r="AD24" s="288">
        <f>Y24-AE24</f>
        <v>4.9999999999999982E-11</v>
      </c>
      <c r="AE24" s="288">
        <f>T24*300</f>
        <v>0</v>
      </c>
      <c r="AF24" s="289"/>
      <c r="AG24" s="279" t="s">
        <v>19</v>
      </c>
      <c r="AH24" s="290">
        <f>U10</f>
        <v>0</v>
      </c>
      <c r="AI24" s="290"/>
      <c r="AJ24" s="290"/>
      <c r="AK24" s="290"/>
      <c r="AL24" s="290"/>
      <c r="AM24" s="290"/>
      <c r="AN24" s="279">
        <f>IF([1]APPLICATION!Z21&gt;3000,0.2,0)</f>
        <v>0</v>
      </c>
      <c r="AO24" s="631">
        <f>IF(AA24="Y",1,0)</f>
        <v>0</v>
      </c>
      <c r="AP24" s="631">
        <f>IF(W24="y",1,0)</f>
        <v>0</v>
      </c>
      <c r="AT24" s="631">
        <f>IF(C24&lt;1999,1,0)</f>
        <v>1</v>
      </c>
      <c r="AU24" s="631">
        <f t="shared" ref="AU24:AU48" si="3">IF(C253&gt;3.33,1,0)</f>
        <v>0</v>
      </c>
      <c r="BC24" s="291">
        <f t="shared" ref="BC24:BC48" si="4">P24*C253/100</f>
        <v>0</v>
      </c>
      <c r="BD24" s="292"/>
      <c r="BE24" s="292"/>
      <c r="BF24" s="292"/>
      <c r="BG24" s="292"/>
      <c r="BH24" s="292"/>
      <c r="BI24" s="292"/>
      <c r="BJ24" s="292"/>
      <c r="BK24" s="292"/>
      <c r="BL24" s="292"/>
      <c r="BM24" s="292"/>
      <c r="BN24" s="292"/>
      <c r="BO24" s="292"/>
      <c r="BP24" s="292"/>
      <c r="BU24" s="633">
        <f>IF(P24&gt;0.1,1,0)</f>
        <v>0</v>
      </c>
      <c r="EA24" s="633">
        <f>IF(C24=0,-0.5,)</f>
        <v>-0.5</v>
      </c>
      <c r="EB24" s="633">
        <f>IF(C24&lt;1997,0.25,0)</f>
        <v>0.25</v>
      </c>
      <c r="EC24" s="633">
        <f>SUM(EA24:EB24)</f>
        <v>-0.25</v>
      </c>
      <c r="ED24" s="633">
        <f>MAX(IF($H$233="Y",EC24,0),0)</f>
        <v>0</v>
      </c>
      <c r="EF24" s="702">
        <f>[1]APPLICATION!Z21</f>
        <v>2499</v>
      </c>
      <c r="EG24" s="633">
        <f>IF(EF24&gt;3999,2,1)</f>
        <v>1</v>
      </c>
      <c r="EH24" s="633">
        <f t="shared" ref="EH24:EH48" si="5">IF(S253&gt;0,1,0)</f>
        <v>0</v>
      </c>
      <c r="EK24" s="633">
        <f>SUM(EG24:EH24)</f>
        <v>1</v>
      </c>
      <c r="EN24" s="633">
        <f>IF(C24=2014,-15,0)</f>
        <v>0</v>
      </c>
      <c r="EO24" s="633">
        <f>IF(C24=2015,-15,0)</f>
        <v>0</v>
      </c>
      <c r="EP24" s="633">
        <f>SUM(EN24:EO24)</f>
        <v>0</v>
      </c>
      <c r="EQ24" s="633"/>
      <c r="ER24" s="633"/>
      <c r="ES24" s="633"/>
      <c r="ET24" s="633"/>
      <c r="EU24" s="633"/>
      <c r="EV24" s="633"/>
      <c r="EW24" s="633"/>
    </row>
    <row r="25" spans="1:153" ht="15.75" customHeight="1">
      <c r="A25" s="283">
        <f t="shared" si="0"/>
        <v>0</v>
      </c>
      <c r="B25" s="284">
        <v>2</v>
      </c>
      <c r="C25" s="403">
        <f>EQUIPEMENTS!C25</f>
        <v>0</v>
      </c>
      <c r="D25" s="1048" t="str">
        <f>EQUIPEMENTS!D25</f>
        <v xml:space="preserve"> </v>
      </c>
      <c r="E25" s="1049"/>
      <c r="F25" s="1050"/>
      <c r="G25" s="1051" t="str">
        <f>EQUIPEMENTS!G25</f>
        <v xml:space="preserve"> </v>
      </c>
      <c r="H25" s="1052"/>
      <c r="I25" s="1053"/>
      <c r="J25" s="1054" t="str">
        <f>EQUIPEMENTS!J25</f>
        <v xml:space="preserve"> </v>
      </c>
      <c r="K25" s="1052"/>
      <c r="L25" s="1053"/>
      <c r="M25" s="1055" t="str">
        <f>EQUIPEMENTS!M25</f>
        <v xml:space="preserve"> </v>
      </c>
      <c r="N25" s="1056"/>
      <c r="O25" s="1057"/>
      <c r="P25" s="1058">
        <f>[2]EQUIPEMENTS!P25</f>
        <v>9.9999999999999995E-8</v>
      </c>
      <c r="Q25" s="1059"/>
      <c r="R25" s="1060">
        <f>[2]EQUIPEMENTS!R25</f>
        <v>1500</v>
      </c>
      <c r="S25" s="1061"/>
      <c r="T25" s="285">
        <f t="shared" ref="T25:T48" si="6">IF(AA25="Y",1,0)</f>
        <v>0</v>
      </c>
      <c r="U25" s="698" t="str">
        <f>EQUIPEMENTS!U25</f>
        <v>N</v>
      </c>
      <c r="V25" s="698" t="str">
        <f>EQUIPEMENTS!V25</f>
        <v>N</v>
      </c>
      <c r="W25" s="485" t="str">
        <f>EQUIPEMENTS!W25</f>
        <v>O</v>
      </c>
      <c r="X25" s="698" t="str">
        <f>EQUIPEMENTS!X25</f>
        <v>O</v>
      </c>
      <c r="Y25" s="699">
        <f>EQUIPEMENTS!Y25</f>
        <v>4.9999999999999982E-11</v>
      </c>
      <c r="Z25" s="700">
        <f t="shared" ref="Z25:Z48" si="7">Y25/P25*100</f>
        <v>4.9999999999999982E-2</v>
      </c>
      <c r="AA25" s="701" t="str">
        <f t="shared" si="2"/>
        <v>N</v>
      </c>
      <c r="AC25" s="287"/>
      <c r="AD25" s="288">
        <f t="shared" ref="AD25:AD48" si="8">Y25-AE25</f>
        <v>4.9999999999999982E-11</v>
      </c>
      <c r="AE25" s="288">
        <f t="shared" ref="AE25:AE48" si="9">T25*300</f>
        <v>0</v>
      </c>
      <c r="AF25" s="289"/>
      <c r="AG25" s="279" t="s">
        <v>20</v>
      </c>
      <c r="AH25" s="280" t="str">
        <f>F8</f>
        <v xml:space="preserve"> </v>
      </c>
      <c r="AI25" s="280"/>
      <c r="AJ25" s="280"/>
      <c r="AK25" s="280"/>
      <c r="AL25" s="280"/>
      <c r="AM25" s="280"/>
      <c r="AN25" s="279">
        <f>IF([1]APPLICATION!Z22&gt;3000,0.2,0)</f>
        <v>0</v>
      </c>
      <c r="AO25" s="631">
        <f>IF(AA25="Y",1,0)</f>
        <v>0</v>
      </c>
      <c r="AP25" s="631">
        <f t="shared" ref="AP25:AP47" si="10">IF(W25="y",1,0)</f>
        <v>0</v>
      </c>
      <c r="AT25" s="631">
        <f t="shared" ref="AT25:AT48" si="11">IF(C25&lt;1999,1,0)</f>
        <v>1</v>
      </c>
      <c r="AU25" s="631">
        <f t="shared" si="3"/>
        <v>0</v>
      </c>
      <c r="BC25" s="291">
        <f t="shared" si="4"/>
        <v>0</v>
      </c>
      <c r="BD25" s="292"/>
      <c r="BE25" s="292"/>
      <c r="BF25" s="292"/>
      <c r="BG25" s="292"/>
      <c r="BH25" s="292"/>
      <c r="BI25" s="292"/>
      <c r="BJ25" s="292"/>
      <c r="BK25" s="292"/>
      <c r="BL25" s="292"/>
      <c r="BM25" s="292"/>
      <c r="BN25" s="292"/>
      <c r="BO25" s="292"/>
      <c r="BP25" s="292"/>
      <c r="BU25" s="633">
        <f t="shared" ref="BU25:BU49" si="12">IF(P25&gt;0.1,1,0)</f>
        <v>0</v>
      </c>
      <c r="EA25" s="633">
        <f t="shared" ref="EA25:EA48" si="13">IF(C25=0,-0.5,)</f>
        <v>-0.5</v>
      </c>
      <c r="EB25" s="633">
        <f t="shared" ref="EB25:EB48" si="14">IF(C25&lt;1997,0.25,0)</f>
        <v>0.25</v>
      </c>
      <c r="EC25" s="633">
        <f t="shared" ref="EC25:EC48" si="15">SUM(EA25:EB25)</f>
        <v>-0.25</v>
      </c>
      <c r="ED25" s="633">
        <f>MAX(IF($H$233="Y",EC25,0),0)</f>
        <v>0</v>
      </c>
      <c r="EF25" s="702">
        <f>[1]APPLICATION!Z22</f>
        <v>2499</v>
      </c>
      <c r="EG25" s="633">
        <f t="shared" ref="EG25:EG48" si="16">IF(EF25&gt;3999,2,1)</f>
        <v>1</v>
      </c>
      <c r="EH25" s="633">
        <f t="shared" si="5"/>
        <v>0</v>
      </c>
      <c r="EK25" s="633">
        <f t="shared" ref="EK25:EK48" si="17">SUM(EG25:EH25)</f>
        <v>1</v>
      </c>
      <c r="EN25" s="633">
        <f t="shared" ref="EN25:EN48" si="18">IF(C25=2014,-15,0)</f>
        <v>0</v>
      </c>
      <c r="EO25" s="633">
        <f t="shared" ref="EO25:EO48" si="19">IF(C25=2015,-15,0)</f>
        <v>0</v>
      </c>
      <c r="EP25" s="633">
        <f t="shared" ref="EP25:EP48" si="20">SUM(EN25:EO25)</f>
        <v>0</v>
      </c>
      <c r="EQ25" s="633"/>
      <c r="ER25" s="633"/>
      <c r="ES25" s="633"/>
      <c r="ET25" s="633"/>
      <c r="EU25" s="633"/>
      <c r="EV25" s="633"/>
      <c r="EW25" s="633"/>
    </row>
    <row r="26" spans="1:153" ht="15.75" customHeight="1">
      <c r="A26" s="283">
        <f t="shared" si="0"/>
        <v>0</v>
      </c>
      <c r="B26" s="284">
        <v>3</v>
      </c>
      <c r="C26" s="403">
        <f>EQUIPEMENTS!C26</f>
        <v>0</v>
      </c>
      <c r="D26" s="1048" t="str">
        <f>EQUIPEMENTS!D26</f>
        <v xml:space="preserve"> </v>
      </c>
      <c r="E26" s="1049"/>
      <c r="F26" s="1050"/>
      <c r="G26" s="1051" t="str">
        <f>EQUIPEMENTS!G26</f>
        <v xml:space="preserve"> </v>
      </c>
      <c r="H26" s="1052"/>
      <c r="I26" s="1053"/>
      <c r="J26" s="1054" t="str">
        <f>EQUIPEMENTS!J26</f>
        <v xml:space="preserve"> </v>
      </c>
      <c r="K26" s="1052"/>
      <c r="L26" s="1053"/>
      <c r="M26" s="1055" t="str">
        <f>EQUIPEMENTS!M26</f>
        <v xml:space="preserve"> </v>
      </c>
      <c r="N26" s="1056"/>
      <c r="O26" s="1057"/>
      <c r="P26" s="1058">
        <f>[2]EQUIPEMENTS!P26</f>
        <v>9.9999999999999995E-8</v>
      </c>
      <c r="Q26" s="1059"/>
      <c r="R26" s="1060">
        <f>[2]EQUIPEMENTS!R26</f>
        <v>1500</v>
      </c>
      <c r="S26" s="1061"/>
      <c r="T26" s="285">
        <f t="shared" si="6"/>
        <v>0</v>
      </c>
      <c r="U26" s="698" t="str">
        <f>EQUIPEMENTS!U26</f>
        <v>N</v>
      </c>
      <c r="V26" s="698" t="str">
        <f>EQUIPEMENTS!V26</f>
        <v>N</v>
      </c>
      <c r="W26" s="485" t="str">
        <f>EQUIPEMENTS!W26</f>
        <v>O</v>
      </c>
      <c r="X26" s="698" t="str">
        <f>EQUIPEMENTS!X26</f>
        <v>O</v>
      </c>
      <c r="Y26" s="699">
        <f>EQUIPEMENTS!Y26</f>
        <v>4.9999999999999982E-11</v>
      </c>
      <c r="Z26" s="700">
        <f t="shared" si="7"/>
        <v>4.9999999999999982E-2</v>
      </c>
      <c r="AA26" s="701" t="str">
        <f t="shared" si="2"/>
        <v>N</v>
      </c>
      <c r="AC26" s="287"/>
      <c r="AD26" s="288">
        <f t="shared" si="8"/>
        <v>4.9999999999999982E-11</v>
      </c>
      <c r="AE26" s="288">
        <f t="shared" si="9"/>
        <v>0</v>
      </c>
      <c r="AF26" s="289"/>
      <c r="AG26" s="279" t="s">
        <v>21</v>
      </c>
      <c r="AH26" s="280" t="str">
        <f>F10</f>
        <v xml:space="preserve"> </v>
      </c>
      <c r="AI26" s="280"/>
      <c r="AJ26" s="280"/>
      <c r="AK26" s="280"/>
      <c r="AL26" s="280"/>
      <c r="AM26" s="280"/>
      <c r="AN26" s="279">
        <f>IF([1]APPLICATION!Z23&gt;3000,0.2,0)</f>
        <v>0</v>
      </c>
      <c r="AO26" s="631">
        <f t="shared" ref="AO26:AO48" si="21">IF(AA26="Y",1,0)</f>
        <v>0</v>
      </c>
      <c r="AP26" s="631">
        <f t="shared" si="10"/>
        <v>0</v>
      </c>
      <c r="AT26" s="631">
        <f t="shared" si="11"/>
        <v>1</v>
      </c>
      <c r="AU26" s="631">
        <f t="shared" si="3"/>
        <v>0</v>
      </c>
      <c r="BC26" s="291">
        <f t="shared" si="4"/>
        <v>0</v>
      </c>
      <c r="BD26" s="292"/>
      <c r="BE26" s="292"/>
      <c r="BF26" s="292"/>
      <c r="BG26" s="292"/>
      <c r="BH26" s="292"/>
      <c r="BI26" s="292"/>
      <c r="BJ26" s="292"/>
      <c r="BK26" s="292"/>
      <c r="BL26" s="292"/>
      <c r="BM26" s="292"/>
      <c r="BN26" s="292"/>
      <c r="BO26" s="292"/>
      <c r="BP26" s="292"/>
      <c r="BU26" s="633">
        <f t="shared" si="12"/>
        <v>0</v>
      </c>
      <c r="EA26" s="633">
        <f t="shared" si="13"/>
        <v>-0.5</v>
      </c>
      <c r="EB26" s="633">
        <f t="shared" si="14"/>
        <v>0.25</v>
      </c>
      <c r="EC26" s="633">
        <f t="shared" si="15"/>
        <v>-0.25</v>
      </c>
      <c r="ED26" s="633">
        <f>MAX(IF($H$233="Y",EC26,0),0)</f>
        <v>0</v>
      </c>
      <c r="EF26" s="702">
        <f>[1]APPLICATION!Z23</f>
        <v>2499</v>
      </c>
      <c r="EG26" s="633">
        <f t="shared" si="16"/>
        <v>1</v>
      </c>
      <c r="EH26" s="633">
        <f t="shared" si="5"/>
        <v>0</v>
      </c>
      <c r="EK26" s="633">
        <f t="shared" si="17"/>
        <v>1</v>
      </c>
      <c r="EN26" s="633">
        <f t="shared" si="18"/>
        <v>0</v>
      </c>
      <c r="EO26" s="633">
        <f t="shared" si="19"/>
        <v>0</v>
      </c>
      <c r="EP26" s="633">
        <f t="shared" si="20"/>
        <v>0</v>
      </c>
      <c r="EQ26" s="633"/>
      <c r="ER26" s="633"/>
      <c r="ES26" s="633"/>
      <c r="ET26" s="633"/>
      <c r="EU26" s="633"/>
      <c r="EV26" s="633"/>
      <c r="EW26" s="633"/>
    </row>
    <row r="27" spans="1:153" ht="15.75" customHeight="1">
      <c r="A27" s="283">
        <f t="shared" si="0"/>
        <v>0</v>
      </c>
      <c r="B27" s="284">
        <v>4</v>
      </c>
      <c r="C27" s="403">
        <f>EQUIPEMENTS!C27</f>
        <v>0</v>
      </c>
      <c r="D27" s="1048" t="str">
        <f>EQUIPEMENTS!D27</f>
        <v xml:space="preserve"> </v>
      </c>
      <c r="E27" s="1049"/>
      <c r="F27" s="1050"/>
      <c r="G27" s="1051" t="str">
        <f>EQUIPEMENTS!G27</f>
        <v xml:space="preserve"> </v>
      </c>
      <c r="H27" s="1052"/>
      <c r="I27" s="1053"/>
      <c r="J27" s="1054" t="str">
        <f>EQUIPEMENTS!J27</f>
        <v xml:space="preserve"> </v>
      </c>
      <c r="K27" s="1052"/>
      <c r="L27" s="1053"/>
      <c r="M27" s="1055" t="str">
        <f>EQUIPEMENTS!M27</f>
        <v xml:space="preserve"> </v>
      </c>
      <c r="N27" s="1056"/>
      <c r="O27" s="1057"/>
      <c r="P27" s="1058">
        <f>[2]EQUIPEMENTS!P27</f>
        <v>9.9999999999999995E-8</v>
      </c>
      <c r="Q27" s="1059"/>
      <c r="R27" s="1060">
        <f>[2]EQUIPEMENTS!R27</f>
        <v>1500</v>
      </c>
      <c r="S27" s="1061"/>
      <c r="T27" s="285">
        <f t="shared" si="6"/>
        <v>0</v>
      </c>
      <c r="U27" s="698" t="str">
        <f>EQUIPEMENTS!U27</f>
        <v>N</v>
      </c>
      <c r="V27" s="698" t="str">
        <f>EQUIPEMENTS!V27</f>
        <v>N</v>
      </c>
      <c r="W27" s="485" t="str">
        <f>EQUIPEMENTS!W27</f>
        <v>O</v>
      </c>
      <c r="X27" s="698" t="str">
        <f>EQUIPEMENTS!X27</f>
        <v>O</v>
      </c>
      <c r="Y27" s="699">
        <f>EQUIPEMENTS!Y27</f>
        <v>4.9999999999999982E-11</v>
      </c>
      <c r="Z27" s="700">
        <f t="shared" si="7"/>
        <v>4.9999999999999982E-2</v>
      </c>
      <c r="AA27" s="701" t="str">
        <f t="shared" si="2"/>
        <v>N</v>
      </c>
      <c r="AC27" s="287"/>
      <c r="AD27" s="288">
        <f t="shared" si="8"/>
        <v>4.9999999999999982E-11</v>
      </c>
      <c r="AE27" s="288">
        <f t="shared" si="9"/>
        <v>0</v>
      </c>
      <c r="AF27" s="289"/>
      <c r="AG27" s="279" t="s">
        <v>22</v>
      </c>
      <c r="AH27" s="280" t="str">
        <f>F11</f>
        <v xml:space="preserve"> </v>
      </c>
      <c r="AI27" s="280"/>
      <c r="AJ27" s="280"/>
      <c r="AK27" s="280"/>
      <c r="AL27" s="280"/>
      <c r="AM27" s="280"/>
      <c r="AN27" s="279">
        <f>IF([1]APPLICATION!Z24&gt;3000,0.2,0)</f>
        <v>0</v>
      </c>
      <c r="AO27" s="631">
        <f t="shared" si="21"/>
        <v>0</v>
      </c>
      <c r="AP27" s="631">
        <f t="shared" si="10"/>
        <v>0</v>
      </c>
      <c r="AT27" s="631">
        <f t="shared" si="11"/>
        <v>1</v>
      </c>
      <c r="AU27" s="631">
        <f t="shared" si="3"/>
        <v>0</v>
      </c>
      <c r="BC27" s="291">
        <f t="shared" si="4"/>
        <v>0</v>
      </c>
      <c r="BD27" s="292"/>
      <c r="BE27" s="292"/>
      <c r="BF27" s="292"/>
      <c r="BG27" s="292"/>
      <c r="BH27" s="292"/>
      <c r="BI27" s="292"/>
      <c r="BJ27" s="292"/>
      <c r="BK27" s="292"/>
      <c r="BL27" s="292"/>
      <c r="BM27" s="292"/>
      <c r="BN27" s="292"/>
      <c r="BO27" s="292"/>
      <c r="BP27" s="292"/>
      <c r="BU27" s="633">
        <f t="shared" si="12"/>
        <v>0</v>
      </c>
      <c r="EA27" s="633">
        <f>IF(C27=0,-0.5,)</f>
        <v>-0.5</v>
      </c>
      <c r="EB27" s="633">
        <f t="shared" si="14"/>
        <v>0.25</v>
      </c>
      <c r="EC27" s="633">
        <f t="shared" si="15"/>
        <v>-0.25</v>
      </c>
      <c r="ED27" s="633">
        <f>MAX(IF($H$233="Y",EC27,0),0)</f>
        <v>0</v>
      </c>
      <c r="EF27" s="702">
        <f>[1]APPLICATION!Z24</f>
        <v>2499</v>
      </c>
      <c r="EG27" s="633">
        <f t="shared" si="16"/>
        <v>1</v>
      </c>
      <c r="EH27" s="633">
        <f t="shared" si="5"/>
        <v>0</v>
      </c>
      <c r="EK27" s="633">
        <f t="shared" si="17"/>
        <v>1</v>
      </c>
      <c r="EN27" s="633">
        <f t="shared" si="18"/>
        <v>0</v>
      </c>
      <c r="EO27" s="633">
        <f t="shared" si="19"/>
        <v>0</v>
      </c>
      <c r="EP27" s="633">
        <f t="shared" si="20"/>
        <v>0</v>
      </c>
      <c r="EQ27" s="633"/>
      <c r="ER27" s="633"/>
      <c r="ES27" s="633"/>
      <c r="ET27" s="633"/>
      <c r="EU27" s="633"/>
      <c r="EV27" s="633"/>
      <c r="EW27" s="633"/>
    </row>
    <row r="28" spans="1:153" ht="15.75" customHeight="1">
      <c r="A28" s="283">
        <f t="shared" si="0"/>
        <v>0</v>
      </c>
      <c r="B28" s="284">
        <v>5</v>
      </c>
      <c r="C28" s="403">
        <f>EQUIPEMENTS!C28</f>
        <v>0</v>
      </c>
      <c r="D28" s="1048" t="str">
        <f>EQUIPEMENTS!D28</f>
        <v xml:space="preserve"> </v>
      </c>
      <c r="E28" s="1049"/>
      <c r="F28" s="1050"/>
      <c r="G28" s="1051" t="str">
        <f>EQUIPEMENTS!G28</f>
        <v xml:space="preserve"> </v>
      </c>
      <c r="H28" s="1052"/>
      <c r="I28" s="1053"/>
      <c r="J28" s="1054" t="str">
        <f>EQUIPEMENTS!J28</f>
        <v xml:space="preserve"> </v>
      </c>
      <c r="K28" s="1052"/>
      <c r="L28" s="1053"/>
      <c r="M28" s="1055" t="str">
        <f>EQUIPEMENTS!M28</f>
        <v xml:space="preserve"> </v>
      </c>
      <c r="N28" s="1056"/>
      <c r="O28" s="1057"/>
      <c r="P28" s="1058">
        <f>[2]EQUIPEMENTS!P28</f>
        <v>9.9999999999999995E-8</v>
      </c>
      <c r="Q28" s="1059"/>
      <c r="R28" s="1060">
        <f>[2]EQUIPEMENTS!R28</f>
        <v>1500</v>
      </c>
      <c r="S28" s="1061"/>
      <c r="T28" s="285">
        <f t="shared" si="6"/>
        <v>0</v>
      </c>
      <c r="U28" s="698" t="str">
        <f>EQUIPEMENTS!U28</f>
        <v>N</v>
      </c>
      <c r="V28" s="698" t="str">
        <f>EQUIPEMENTS!V28</f>
        <v>N</v>
      </c>
      <c r="W28" s="485" t="str">
        <f>EQUIPEMENTS!W28</f>
        <v>O</v>
      </c>
      <c r="X28" s="698" t="str">
        <f>EQUIPEMENTS!X28</f>
        <v>O</v>
      </c>
      <c r="Y28" s="699">
        <f>EQUIPEMENTS!Y28</f>
        <v>4.9999999999999982E-11</v>
      </c>
      <c r="Z28" s="700">
        <f t="shared" si="7"/>
        <v>4.9999999999999982E-2</v>
      </c>
      <c r="AA28" s="701" t="str">
        <f t="shared" si="2"/>
        <v>N</v>
      </c>
      <c r="AC28" s="287"/>
      <c r="AD28" s="288">
        <f t="shared" si="8"/>
        <v>4.9999999999999982E-11</v>
      </c>
      <c r="AE28" s="288">
        <f t="shared" si="9"/>
        <v>0</v>
      </c>
      <c r="AF28" s="288"/>
      <c r="AG28" s="631" t="s">
        <v>23</v>
      </c>
      <c r="AH28" s="632">
        <f>U8</f>
        <v>0</v>
      </c>
      <c r="AN28" s="279">
        <f>IF([1]APPLICATION!Z25&gt;3000,0.2,0)</f>
        <v>0</v>
      </c>
      <c r="AO28" s="631">
        <f t="shared" si="21"/>
        <v>0</v>
      </c>
      <c r="AP28" s="631">
        <f t="shared" si="10"/>
        <v>0</v>
      </c>
      <c r="AT28" s="631">
        <f t="shared" si="11"/>
        <v>1</v>
      </c>
      <c r="AU28" s="631">
        <f t="shared" si="3"/>
        <v>0</v>
      </c>
      <c r="BC28" s="291">
        <f t="shared" si="4"/>
        <v>0</v>
      </c>
      <c r="BD28" s="292"/>
      <c r="BE28" s="292"/>
      <c r="BF28" s="292"/>
      <c r="BG28" s="292"/>
      <c r="BH28" s="292"/>
      <c r="BI28" s="292"/>
      <c r="BJ28" s="292"/>
      <c r="BK28" s="292"/>
      <c r="BL28" s="292"/>
      <c r="BM28" s="292"/>
      <c r="BN28" s="292"/>
      <c r="BO28" s="292"/>
      <c r="BP28" s="292"/>
      <c r="BU28" s="633">
        <f t="shared" si="12"/>
        <v>0</v>
      </c>
      <c r="EA28" s="633">
        <f t="shared" si="13"/>
        <v>-0.5</v>
      </c>
      <c r="EB28" s="633">
        <f t="shared" si="14"/>
        <v>0.25</v>
      </c>
      <c r="EC28" s="633">
        <f t="shared" si="15"/>
        <v>-0.25</v>
      </c>
      <c r="ED28" s="633">
        <f t="shared" ref="ED28:ED48" si="22">MAX(IF($H$233="Y",EC28,0),0)</f>
        <v>0</v>
      </c>
      <c r="EF28" s="702">
        <f>[1]APPLICATION!Z25</f>
        <v>2499</v>
      </c>
      <c r="EG28" s="633">
        <f t="shared" si="16"/>
        <v>1</v>
      </c>
      <c r="EH28" s="633">
        <f t="shared" si="5"/>
        <v>0</v>
      </c>
      <c r="EK28" s="633">
        <f t="shared" si="17"/>
        <v>1</v>
      </c>
      <c r="EN28" s="633">
        <f t="shared" si="18"/>
        <v>0</v>
      </c>
      <c r="EO28" s="633">
        <f t="shared" si="19"/>
        <v>0</v>
      </c>
      <c r="EP28" s="633">
        <f t="shared" si="20"/>
        <v>0</v>
      </c>
      <c r="EQ28" s="633"/>
      <c r="ER28" s="633"/>
      <c r="ES28" s="633"/>
      <c r="ET28" s="633"/>
      <c r="EU28" s="633"/>
      <c r="EV28" s="633"/>
      <c r="EW28" s="633"/>
    </row>
    <row r="29" spans="1:153" ht="15.75" customHeight="1">
      <c r="A29" s="283">
        <f t="shared" si="0"/>
        <v>0</v>
      </c>
      <c r="B29" s="284">
        <v>6</v>
      </c>
      <c r="C29" s="403">
        <f>EQUIPEMENTS!C29</f>
        <v>0</v>
      </c>
      <c r="D29" s="1048" t="str">
        <f>EQUIPEMENTS!D29</f>
        <v xml:space="preserve"> </v>
      </c>
      <c r="E29" s="1049"/>
      <c r="F29" s="1050"/>
      <c r="G29" s="1051" t="str">
        <f>EQUIPEMENTS!G29</f>
        <v xml:space="preserve"> </v>
      </c>
      <c r="H29" s="1052"/>
      <c r="I29" s="1053"/>
      <c r="J29" s="1054" t="str">
        <f>EQUIPEMENTS!J29</f>
        <v xml:space="preserve"> </v>
      </c>
      <c r="K29" s="1052"/>
      <c r="L29" s="1053"/>
      <c r="M29" s="1055" t="str">
        <f>EQUIPEMENTS!M29</f>
        <v xml:space="preserve"> </v>
      </c>
      <c r="N29" s="1056"/>
      <c r="O29" s="1057"/>
      <c r="P29" s="1058">
        <f>[2]EQUIPEMENTS!P29</f>
        <v>9.9999999999999995E-8</v>
      </c>
      <c r="Q29" s="1059"/>
      <c r="R29" s="1060">
        <f>[2]EQUIPEMENTS!R29</f>
        <v>1500</v>
      </c>
      <c r="S29" s="1061"/>
      <c r="T29" s="285">
        <f t="shared" si="6"/>
        <v>0</v>
      </c>
      <c r="U29" s="698" t="str">
        <f>EQUIPEMENTS!U29</f>
        <v>N</v>
      </c>
      <c r="V29" s="698" t="str">
        <f>EQUIPEMENTS!V29</f>
        <v>N</v>
      </c>
      <c r="W29" s="485" t="str">
        <f>EQUIPEMENTS!W29</f>
        <v>O</v>
      </c>
      <c r="X29" s="698" t="str">
        <f>EQUIPEMENTS!X29</f>
        <v>O</v>
      </c>
      <c r="Y29" s="699">
        <f>EQUIPEMENTS!Y29</f>
        <v>4.9999999999999982E-11</v>
      </c>
      <c r="Z29" s="700">
        <f t="shared" si="7"/>
        <v>4.9999999999999982E-2</v>
      </c>
      <c r="AA29" s="701" t="str">
        <f t="shared" si="2"/>
        <v>N</v>
      </c>
      <c r="AC29" s="287"/>
      <c r="AD29" s="288">
        <f t="shared" si="8"/>
        <v>4.9999999999999982E-11</v>
      </c>
      <c r="AE29" s="288">
        <f t="shared" si="9"/>
        <v>0</v>
      </c>
      <c r="AF29" s="288"/>
      <c r="AG29" s="631" t="s">
        <v>24</v>
      </c>
      <c r="AH29" s="632">
        <f>U11</f>
        <v>0</v>
      </c>
      <c r="AN29" s="279">
        <f>IF([1]APPLICATION!Z26&gt;3000,0.2,0)</f>
        <v>0</v>
      </c>
      <c r="AO29" s="631">
        <f t="shared" si="21"/>
        <v>0</v>
      </c>
      <c r="AP29" s="631">
        <f t="shared" si="10"/>
        <v>0</v>
      </c>
      <c r="AT29" s="631">
        <f t="shared" si="11"/>
        <v>1</v>
      </c>
      <c r="AU29" s="631">
        <f t="shared" si="3"/>
        <v>0</v>
      </c>
      <c r="BC29" s="291">
        <f t="shared" si="4"/>
        <v>0</v>
      </c>
      <c r="BD29" s="292"/>
      <c r="BE29" s="292"/>
      <c r="BF29" s="292"/>
      <c r="BG29" s="292"/>
      <c r="BH29" s="292"/>
      <c r="BI29" s="292"/>
      <c r="BJ29" s="292"/>
      <c r="BK29" s="292"/>
      <c r="BL29" s="292"/>
      <c r="BM29" s="292"/>
      <c r="BN29" s="292"/>
      <c r="BO29" s="292"/>
      <c r="BP29" s="292"/>
      <c r="BU29" s="633">
        <f t="shared" si="12"/>
        <v>0</v>
      </c>
      <c r="EA29" s="633">
        <f t="shared" si="13"/>
        <v>-0.5</v>
      </c>
      <c r="EB29" s="633">
        <f t="shared" si="14"/>
        <v>0.25</v>
      </c>
      <c r="EC29" s="633">
        <f t="shared" si="15"/>
        <v>-0.25</v>
      </c>
      <c r="ED29" s="633">
        <f t="shared" si="22"/>
        <v>0</v>
      </c>
      <c r="EF29" s="702">
        <f>[1]APPLICATION!Z26</f>
        <v>2499</v>
      </c>
      <c r="EG29" s="633">
        <f t="shared" si="16"/>
        <v>1</v>
      </c>
      <c r="EH29" s="633">
        <f t="shared" si="5"/>
        <v>0</v>
      </c>
      <c r="EK29" s="633">
        <f t="shared" si="17"/>
        <v>1</v>
      </c>
      <c r="EN29" s="633">
        <f t="shared" si="18"/>
        <v>0</v>
      </c>
      <c r="EO29" s="633">
        <f t="shared" si="19"/>
        <v>0</v>
      </c>
      <c r="EP29" s="633">
        <f t="shared" si="20"/>
        <v>0</v>
      </c>
      <c r="EQ29" s="633"/>
      <c r="ER29" s="633"/>
      <c r="ES29" s="633"/>
      <c r="ET29" s="633"/>
      <c r="EU29" s="633"/>
      <c r="EV29" s="633"/>
      <c r="EW29" s="633"/>
    </row>
    <row r="30" spans="1:153" ht="15.75" customHeight="1">
      <c r="A30" s="283">
        <f t="shared" si="0"/>
        <v>0</v>
      </c>
      <c r="B30" s="284">
        <v>7</v>
      </c>
      <c r="C30" s="403">
        <f>EQUIPEMENTS!C30</f>
        <v>0</v>
      </c>
      <c r="D30" s="1048" t="str">
        <f>EQUIPEMENTS!D30</f>
        <v xml:space="preserve"> </v>
      </c>
      <c r="E30" s="1049"/>
      <c r="F30" s="1050"/>
      <c r="G30" s="1051" t="str">
        <f>EQUIPEMENTS!G30</f>
        <v xml:space="preserve"> </v>
      </c>
      <c r="H30" s="1052"/>
      <c r="I30" s="1053"/>
      <c r="J30" s="1054" t="str">
        <f>EQUIPEMENTS!J30</f>
        <v xml:space="preserve"> </v>
      </c>
      <c r="K30" s="1052"/>
      <c r="L30" s="1053"/>
      <c r="M30" s="1055" t="str">
        <f>EQUIPEMENTS!M30</f>
        <v xml:space="preserve"> </v>
      </c>
      <c r="N30" s="1056"/>
      <c r="O30" s="1057"/>
      <c r="P30" s="1058">
        <f>[2]EQUIPEMENTS!P30</f>
        <v>9.9999999999999995E-8</v>
      </c>
      <c r="Q30" s="1059"/>
      <c r="R30" s="1060">
        <f>[2]EQUIPEMENTS!R30</f>
        <v>1500</v>
      </c>
      <c r="S30" s="1061"/>
      <c r="T30" s="285">
        <f t="shared" si="6"/>
        <v>0</v>
      </c>
      <c r="U30" s="698" t="str">
        <f>EQUIPEMENTS!U30</f>
        <v>N</v>
      </c>
      <c r="V30" s="698" t="str">
        <f>EQUIPEMENTS!V30</f>
        <v>N</v>
      </c>
      <c r="W30" s="485" t="str">
        <f>EQUIPEMENTS!W30</f>
        <v>O</v>
      </c>
      <c r="X30" s="698" t="str">
        <f>EQUIPEMENTS!X30</f>
        <v>O</v>
      </c>
      <c r="Y30" s="699">
        <f>EQUIPEMENTS!Y30</f>
        <v>4.9999999999999982E-11</v>
      </c>
      <c r="Z30" s="700">
        <f t="shared" si="7"/>
        <v>4.9999999999999982E-2</v>
      </c>
      <c r="AA30" s="701" t="str">
        <f t="shared" si="2"/>
        <v>N</v>
      </c>
      <c r="AC30" s="287"/>
      <c r="AD30" s="288">
        <f t="shared" si="8"/>
        <v>4.9999999999999982E-11</v>
      </c>
      <c r="AE30" s="288">
        <f t="shared" si="9"/>
        <v>0</v>
      </c>
      <c r="AF30" s="288"/>
      <c r="AG30" s="631" t="s">
        <v>25</v>
      </c>
      <c r="AH30" s="294" t="str">
        <f>F13</f>
        <v xml:space="preserve"> </v>
      </c>
      <c r="AI30" s="294"/>
      <c r="AJ30" s="294"/>
      <c r="AK30" s="294"/>
      <c r="AL30" s="294"/>
      <c r="AM30" s="294"/>
      <c r="AN30" s="279">
        <f>IF([1]APPLICATION!Z27&gt;3000,0.2,0)</f>
        <v>0</v>
      </c>
      <c r="AO30" s="631">
        <f t="shared" si="21"/>
        <v>0</v>
      </c>
      <c r="AP30" s="631">
        <f t="shared" si="10"/>
        <v>0</v>
      </c>
      <c r="AT30" s="631">
        <f t="shared" si="11"/>
        <v>1</v>
      </c>
      <c r="AU30" s="631">
        <f t="shared" si="3"/>
        <v>0</v>
      </c>
      <c r="BC30" s="291">
        <f t="shared" si="4"/>
        <v>0</v>
      </c>
      <c r="BD30" s="292"/>
      <c r="BE30" s="292"/>
      <c r="BF30" s="292"/>
      <c r="BG30" s="292"/>
      <c r="BH30" s="292"/>
      <c r="BI30" s="292"/>
      <c r="BJ30" s="292"/>
      <c r="BK30" s="292"/>
      <c r="BL30" s="292"/>
      <c r="BM30" s="292"/>
      <c r="BN30" s="292"/>
      <c r="BO30" s="292"/>
      <c r="BP30" s="292"/>
      <c r="BU30" s="633">
        <f t="shared" si="12"/>
        <v>0</v>
      </c>
      <c r="EA30" s="633">
        <f t="shared" si="13"/>
        <v>-0.5</v>
      </c>
      <c r="EB30" s="633">
        <f t="shared" si="14"/>
        <v>0.25</v>
      </c>
      <c r="EC30" s="633">
        <f t="shared" si="15"/>
        <v>-0.25</v>
      </c>
      <c r="ED30" s="633">
        <f t="shared" si="22"/>
        <v>0</v>
      </c>
      <c r="EF30" s="702">
        <f>[1]APPLICATION!Z27</f>
        <v>2499</v>
      </c>
      <c r="EG30" s="633">
        <f t="shared" si="16"/>
        <v>1</v>
      </c>
      <c r="EH30" s="633">
        <f t="shared" si="5"/>
        <v>0</v>
      </c>
      <c r="EK30" s="633">
        <f t="shared" si="17"/>
        <v>1</v>
      </c>
      <c r="EN30" s="633">
        <f t="shared" si="18"/>
        <v>0</v>
      </c>
      <c r="EO30" s="633">
        <f t="shared" si="19"/>
        <v>0</v>
      </c>
      <c r="EP30" s="633">
        <f t="shared" si="20"/>
        <v>0</v>
      </c>
      <c r="EQ30" s="633"/>
      <c r="ER30" s="633"/>
      <c r="ES30" s="633"/>
      <c r="ET30" s="633"/>
      <c r="EU30" s="633"/>
      <c r="EV30" s="633"/>
      <c r="EW30" s="633"/>
    </row>
    <row r="31" spans="1:153" ht="15.75" customHeight="1">
      <c r="A31" s="283">
        <f t="shared" si="0"/>
        <v>0</v>
      </c>
      <c r="B31" s="284">
        <v>8</v>
      </c>
      <c r="C31" s="403">
        <f>EQUIPEMENTS!C31</f>
        <v>0</v>
      </c>
      <c r="D31" s="1048" t="str">
        <f>EQUIPEMENTS!D31</f>
        <v xml:space="preserve"> </v>
      </c>
      <c r="E31" s="1049"/>
      <c r="F31" s="1050"/>
      <c r="G31" s="1051" t="str">
        <f>EQUIPEMENTS!G31</f>
        <v xml:space="preserve"> </v>
      </c>
      <c r="H31" s="1052"/>
      <c r="I31" s="1053"/>
      <c r="J31" s="1054" t="str">
        <f>EQUIPEMENTS!J31</f>
        <v xml:space="preserve"> </v>
      </c>
      <c r="K31" s="1052"/>
      <c r="L31" s="1053"/>
      <c r="M31" s="1055" t="str">
        <f>EQUIPEMENTS!M31</f>
        <v xml:space="preserve"> </v>
      </c>
      <c r="N31" s="1056"/>
      <c r="O31" s="1057"/>
      <c r="P31" s="1058">
        <f>[2]EQUIPEMENTS!P31</f>
        <v>9.9999999999999995E-8</v>
      </c>
      <c r="Q31" s="1059"/>
      <c r="R31" s="1060">
        <f>[2]EQUIPEMENTS!R31</f>
        <v>1500</v>
      </c>
      <c r="S31" s="1061"/>
      <c r="T31" s="285">
        <f t="shared" si="6"/>
        <v>0</v>
      </c>
      <c r="U31" s="698" t="str">
        <f>EQUIPEMENTS!U31</f>
        <v>N</v>
      </c>
      <c r="V31" s="698" t="str">
        <f>EQUIPEMENTS!V31</f>
        <v>N</v>
      </c>
      <c r="W31" s="485" t="str">
        <f>EQUIPEMENTS!W31</f>
        <v>O</v>
      </c>
      <c r="X31" s="698" t="str">
        <f>EQUIPEMENTS!X31</f>
        <v>O</v>
      </c>
      <c r="Y31" s="699">
        <f>EQUIPEMENTS!Y31</f>
        <v>4.9999999999999982E-11</v>
      </c>
      <c r="Z31" s="700">
        <f t="shared" si="7"/>
        <v>4.9999999999999982E-2</v>
      </c>
      <c r="AA31" s="701" t="str">
        <f t="shared" si="2"/>
        <v>N</v>
      </c>
      <c r="AC31" s="287"/>
      <c r="AD31" s="288">
        <f t="shared" si="8"/>
        <v>4.9999999999999982E-11</v>
      </c>
      <c r="AE31" s="288">
        <f t="shared" si="9"/>
        <v>0</v>
      </c>
      <c r="AF31" s="288"/>
      <c r="AG31" s="631" t="s">
        <v>26</v>
      </c>
      <c r="AH31" s="632">
        <f>U15</f>
        <v>0</v>
      </c>
      <c r="AN31" s="279">
        <f>IF([1]APPLICATION!Z28&gt;3000,0.2,0)</f>
        <v>0</v>
      </c>
      <c r="AO31" s="631">
        <f t="shared" si="21"/>
        <v>0</v>
      </c>
      <c r="AP31" s="631">
        <f t="shared" si="10"/>
        <v>0</v>
      </c>
      <c r="AT31" s="631">
        <f t="shared" si="11"/>
        <v>1</v>
      </c>
      <c r="AU31" s="631">
        <f t="shared" si="3"/>
        <v>0</v>
      </c>
      <c r="BC31" s="291">
        <f t="shared" si="4"/>
        <v>0</v>
      </c>
      <c r="BD31" s="292"/>
      <c r="BE31" s="292"/>
      <c r="BF31" s="292"/>
      <c r="BG31" s="292"/>
      <c r="BH31" s="292"/>
      <c r="BI31" s="292"/>
      <c r="BJ31" s="292"/>
      <c r="BK31" s="292"/>
      <c r="BL31" s="292"/>
      <c r="BM31" s="292"/>
      <c r="BN31" s="292"/>
      <c r="BO31" s="292"/>
      <c r="BP31" s="292"/>
      <c r="BU31" s="633">
        <f t="shared" si="12"/>
        <v>0</v>
      </c>
      <c r="EA31" s="633">
        <f t="shared" si="13"/>
        <v>-0.5</v>
      </c>
      <c r="EB31" s="633">
        <f t="shared" si="14"/>
        <v>0.25</v>
      </c>
      <c r="EC31" s="633">
        <f t="shared" si="15"/>
        <v>-0.25</v>
      </c>
      <c r="ED31" s="633">
        <f t="shared" si="22"/>
        <v>0</v>
      </c>
      <c r="EF31" s="702">
        <f>[1]APPLICATION!Z28</f>
        <v>2499</v>
      </c>
      <c r="EG31" s="633">
        <f t="shared" si="16"/>
        <v>1</v>
      </c>
      <c r="EH31" s="633">
        <f t="shared" si="5"/>
        <v>0</v>
      </c>
      <c r="EK31" s="633">
        <f t="shared" si="17"/>
        <v>1</v>
      </c>
      <c r="EN31" s="633">
        <f t="shared" si="18"/>
        <v>0</v>
      </c>
      <c r="EO31" s="633">
        <f t="shared" si="19"/>
        <v>0</v>
      </c>
      <c r="EP31" s="633">
        <f t="shared" si="20"/>
        <v>0</v>
      </c>
      <c r="EQ31" s="633"/>
      <c r="ER31" s="633"/>
      <c r="ES31" s="633"/>
      <c r="ET31" s="633"/>
      <c r="EU31" s="633"/>
      <c r="EV31" s="633"/>
      <c r="EW31" s="633"/>
    </row>
    <row r="32" spans="1:153" ht="15.75" customHeight="1">
      <c r="A32" s="283">
        <f t="shared" si="0"/>
        <v>0</v>
      </c>
      <c r="B32" s="284">
        <v>9</v>
      </c>
      <c r="C32" s="403">
        <f>EQUIPEMENTS!C32</f>
        <v>0</v>
      </c>
      <c r="D32" s="1048" t="str">
        <f>EQUIPEMENTS!D32</f>
        <v xml:space="preserve"> </v>
      </c>
      <c r="E32" s="1049"/>
      <c r="F32" s="1050"/>
      <c r="G32" s="1051" t="str">
        <f>EQUIPEMENTS!G32</f>
        <v xml:space="preserve"> </v>
      </c>
      <c r="H32" s="1052"/>
      <c r="I32" s="1053"/>
      <c r="J32" s="1054" t="str">
        <f>EQUIPEMENTS!J32</f>
        <v xml:space="preserve"> </v>
      </c>
      <c r="K32" s="1052"/>
      <c r="L32" s="1053"/>
      <c r="M32" s="1055" t="str">
        <f>EQUIPEMENTS!M32</f>
        <v xml:space="preserve"> </v>
      </c>
      <c r="N32" s="1056"/>
      <c r="O32" s="1057"/>
      <c r="P32" s="1058">
        <f>[2]EQUIPEMENTS!P32</f>
        <v>9.9999999999999995E-8</v>
      </c>
      <c r="Q32" s="1059"/>
      <c r="R32" s="1060">
        <f>[2]EQUIPEMENTS!R32</f>
        <v>1500</v>
      </c>
      <c r="S32" s="1061"/>
      <c r="T32" s="285">
        <f t="shared" si="6"/>
        <v>0</v>
      </c>
      <c r="U32" s="698" t="str">
        <f>EQUIPEMENTS!U32</f>
        <v>N</v>
      </c>
      <c r="V32" s="698" t="str">
        <f>EQUIPEMENTS!V32</f>
        <v>N</v>
      </c>
      <c r="W32" s="485" t="str">
        <f>EQUIPEMENTS!W32</f>
        <v>O</v>
      </c>
      <c r="X32" s="698" t="str">
        <f>EQUIPEMENTS!X32</f>
        <v>O</v>
      </c>
      <c r="Y32" s="699">
        <f>EQUIPEMENTS!Y32</f>
        <v>4.9999999999999982E-11</v>
      </c>
      <c r="Z32" s="700">
        <f t="shared" si="7"/>
        <v>4.9999999999999982E-2</v>
      </c>
      <c r="AA32" s="701" t="str">
        <f t="shared" si="2"/>
        <v>N</v>
      </c>
      <c r="AC32" s="287"/>
      <c r="AD32" s="288">
        <f t="shared" si="8"/>
        <v>4.9999999999999982E-11</v>
      </c>
      <c r="AE32" s="288">
        <f t="shared" si="9"/>
        <v>0</v>
      </c>
      <c r="AF32" s="288"/>
      <c r="AG32" s="631" t="s">
        <v>27</v>
      </c>
      <c r="AH32" s="295">
        <f>U13</f>
        <v>0</v>
      </c>
      <c r="AI32" s="295"/>
      <c r="AJ32" s="295"/>
      <c r="AK32" s="295"/>
      <c r="AL32" s="295"/>
      <c r="AM32" s="295"/>
      <c r="AN32" s="279">
        <f>IF([1]APPLICATION!Z29&gt;3000,0.2,0)</f>
        <v>0</v>
      </c>
      <c r="AO32" s="631">
        <f t="shared" si="21"/>
        <v>0</v>
      </c>
      <c r="AP32" s="631">
        <f t="shared" si="10"/>
        <v>0</v>
      </c>
      <c r="AT32" s="631">
        <f t="shared" si="11"/>
        <v>1</v>
      </c>
      <c r="AU32" s="631">
        <f t="shared" si="3"/>
        <v>0</v>
      </c>
      <c r="BC32" s="291">
        <f t="shared" si="4"/>
        <v>0</v>
      </c>
      <c r="BD32" s="292"/>
      <c r="BE32" s="292"/>
      <c r="BF32" s="292"/>
      <c r="BG32" s="292"/>
      <c r="BH32" s="292"/>
      <c r="BI32" s="292"/>
      <c r="BJ32" s="292"/>
      <c r="BK32" s="292"/>
      <c r="BL32" s="292"/>
      <c r="BM32" s="292"/>
      <c r="BN32" s="292"/>
      <c r="BO32" s="292"/>
      <c r="BP32" s="292"/>
      <c r="BU32" s="633">
        <f t="shared" si="12"/>
        <v>0</v>
      </c>
      <c r="EA32" s="633">
        <f t="shared" si="13"/>
        <v>-0.5</v>
      </c>
      <c r="EB32" s="633">
        <f t="shared" si="14"/>
        <v>0.25</v>
      </c>
      <c r="EC32" s="633">
        <f t="shared" si="15"/>
        <v>-0.25</v>
      </c>
      <c r="ED32" s="633">
        <f t="shared" si="22"/>
        <v>0</v>
      </c>
      <c r="EF32" s="702">
        <f>[1]APPLICATION!Z29</f>
        <v>2499</v>
      </c>
      <c r="EG32" s="633">
        <f t="shared" si="16"/>
        <v>1</v>
      </c>
      <c r="EH32" s="633">
        <f t="shared" si="5"/>
        <v>0</v>
      </c>
      <c r="EK32" s="633">
        <f t="shared" si="17"/>
        <v>1</v>
      </c>
      <c r="EN32" s="633">
        <f t="shared" si="18"/>
        <v>0</v>
      </c>
      <c r="EO32" s="633">
        <f t="shared" si="19"/>
        <v>0</v>
      </c>
      <c r="EP32" s="633">
        <f t="shared" si="20"/>
        <v>0</v>
      </c>
      <c r="EQ32" s="633"/>
      <c r="ER32" s="633"/>
      <c r="ES32" s="633"/>
      <c r="ET32" s="633"/>
      <c r="EU32" s="633"/>
      <c r="EV32" s="633"/>
      <c r="EW32" s="633"/>
    </row>
    <row r="33" spans="1:153" ht="15.75" customHeight="1">
      <c r="A33" s="283">
        <f t="shared" si="0"/>
        <v>0</v>
      </c>
      <c r="B33" s="284">
        <v>10</v>
      </c>
      <c r="C33" s="403">
        <f>EQUIPEMENTS!C33</f>
        <v>0</v>
      </c>
      <c r="D33" s="1048" t="str">
        <f>EQUIPEMENTS!D33</f>
        <v xml:space="preserve"> </v>
      </c>
      <c r="E33" s="1049"/>
      <c r="F33" s="1050"/>
      <c r="G33" s="1051" t="str">
        <f>EQUIPEMENTS!G33</f>
        <v xml:space="preserve"> </v>
      </c>
      <c r="H33" s="1052"/>
      <c r="I33" s="1053"/>
      <c r="J33" s="1054" t="str">
        <f>EQUIPEMENTS!J33</f>
        <v xml:space="preserve"> </v>
      </c>
      <c r="K33" s="1052"/>
      <c r="L33" s="1053"/>
      <c r="M33" s="1055" t="str">
        <f>EQUIPEMENTS!M33</f>
        <v xml:space="preserve"> </v>
      </c>
      <c r="N33" s="1056"/>
      <c r="O33" s="1057"/>
      <c r="P33" s="1058">
        <f>[2]EQUIPEMENTS!P33</f>
        <v>9.9999999999999995E-8</v>
      </c>
      <c r="Q33" s="1059"/>
      <c r="R33" s="1060">
        <f>[2]EQUIPEMENTS!R33</f>
        <v>1500</v>
      </c>
      <c r="S33" s="1061"/>
      <c r="T33" s="285">
        <f t="shared" si="6"/>
        <v>0</v>
      </c>
      <c r="U33" s="698" t="str">
        <f>EQUIPEMENTS!U33</f>
        <v>N</v>
      </c>
      <c r="V33" s="698" t="str">
        <f>EQUIPEMENTS!V33</f>
        <v>N</v>
      </c>
      <c r="W33" s="485" t="str">
        <f>EQUIPEMENTS!W33</f>
        <v>O</v>
      </c>
      <c r="X33" s="698" t="str">
        <f>EQUIPEMENTS!X33</f>
        <v>O</v>
      </c>
      <c r="Y33" s="699">
        <f>EQUIPEMENTS!Y33</f>
        <v>4.9999999999999982E-11</v>
      </c>
      <c r="Z33" s="700">
        <f t="shared" si="7"/>
        <v>4.9999999999999982E-2</v>
      </c>
      <c r="AA33" s="701" t="str">
        <f t="shared" si="2"/>
        <v>N</v>
      </c>
      <c r="AC33" s="287"/>
      <c r="AD33" s="288">
        <f t="shared" si="8"/>
        <v>4.9999999999999982E-11</v>
      </c>
      <c r="AE33" s="288">
        <f t="shared" si="9"/>
        <v>0</v>
      </c>
      <c r="AF33" s="288"/>
      <c r="AG33" s="631" t="s">
        <v>28</v>
      </c>
      <c r="AH33" s="294" t="str">
        <f>F15</f>
        <v xml:space="preserve"> </v>
      </c>
      <c r="AI33" s="294"/>
      <c r="AJ33" s="294"/>
      <c r="AK33" s="294"/>
      <c r="AL33" s="294"/>
      <c r="AM33" s="294"/>
      <c r="AN33" s="279">
        <f>IF([1]APPLICATION!Z30&gt;3000,0.2,0)</f>
        <v>0</v>
      </c>
      <c r="AO33" s="631">
        <f t="shared" si="21"/>
        <v>0</v>
      </c>
      <c r="AP33" s="631">
        <f t="shared" si="10"/>
        <v>0</v>
      </c>
      <c r="AT33" s="631">
        <f t="shared" si="11"/>
        <v>1</v>
      </c>
      <c r="AU33" s="631">
        <f t="shared" si="3"/>
        <v>0</v>
      </c>
      <c r="BC33" s="291">
        <f t="shared" si="4"/>
        <v>0</v>
      </c>
      <c r="BD33" s="292"/>
      <c r="BE33" s="292"/>
      <c r="BF33" s="292"/>
      <c r="BG33" s="292"/>
      <c r="BH33" s="292"/>
      <c r="BI33" s="292"/>
      <c r="BJ33" s="292"/>
      <c r="BK33" s="292"/>
      <c r="BL33" s="292"/>
      <c r="BM33" s="292"/>
      <c r="BN33" s="292"/>
      <c r="BO33" s="292"/>
      <c r="BP33" s="292"/>
      <c r="BU33" s="633">
        <f t="shared" si="12"/>
        <v>0</v>
      </c>
      <c r="EA33" s="633">
        <f t="shared" si="13"/>
        <v>-0.5</v>
      </c>
      <c r="EB33" s="633">
        <f t="shared" si="14"/>
        <v>0.25</v>
      </c>
      <c r="EC33" s="633">
        <f t="shared" si="15"/>
        <v>-0.25</v>
      </c>
      <c r="ED33" s="633">
        <f t="shared" si="22"/>
        <v>0</v>
      </c>
      <c r="EF33" s="702">
        <f>[1]APPLICATION!Z30</f>
        <v>2499</v>
      </c>
      <c r="EG33" s="633">
        <f t="shared" si="16"/>
        <v>1</v>
      </c>
      <c r="EH33" s="633">
        <f t="shared" si="5"/>
        <v>0</v>
      </c>
      <c r="EK33" s="633">
        <f t="shared" si="17"/>
        <v>1</v>
      </c>
      <c r="EN33" s="633">
        <f t="shared" si="18"/>
        <v>0</v>
      </c>
      <c r="EO33" s="633">
        <f t="shared" si="19"/>
        <v>0</v>
      </c>
      <c r="EP33" s="633">
        <f t="shared" si="20"/>
        <v>0</v>
      </c>
      <c r="EQ33" s="633"/>
      <c r="ER33" s="633"/>
      <c r="ES33" s="633"/>
      <c r="ET33" s="633"/>
      <c r="EU33" s="633"/>
      <c r="EV33" s="633"/>
      <c r="EW33" s="633"/>
    </row>
    <row r="34" spans="1:153" ht="15.75" customHeight="1">
      <c r="A34" s="283">
        <f t="shared" si="0"/>
        <v>0</v>
      </c>
      <c r="B34" s="284">
        <v>11</v>
      </c>
      <c r="C34" s="403">
        <f>EQUIPEMENTS!C34</f>
        <v>0</v>
      </c>
      <c r="D34" s="1048" t="str">
        <f>EQUIPEMENTS!D34</f>
        <v xml:space="preserve"> </v>
      </c>
      <c r="E34" s="1049"/>
      <c r="F34" s="1050"/>
      <c r="G34" s="1051" t="str">
        <f>EQUIPEMENTS!G34</f>
        <v xml:space="preserve"> </v>
      </c>
      <c r="H34" s="1052"/>
      <c r="I34" s="1053"/>
      <c r="J34" s="1054" t="str">
        <f>EQUIPEMENTS!J34</f>
        <v xml:space="preserve"> </v>
      </c>
      <c r="K34" s="1052"/>
      <c r="L34" s="1053"/>
      <c r="M34" s="1055" t="str">
        <f>EQUIPEMENTS!M34</f>
        <v xml:space="preserve"> </v>
      </c>
      <c r="N34" s="1056"/>
      <c r="O34" s="1057"/>
      <c r="P34" s="1058">
        <f>[2]EQUIPEMENTS!P34</f>
        <v>9.9999999999999995E-8</v>
      </c>
      <c r="Q34" s="1059"/>
      <c r="R34" s="1060">
        <f>[2]EQUIPEMENTS!R34</f>
        <v>1500</v>
      </c>
      <c r="S34" s="1061"/>
      <c r="T34" s="285">
        <f t="shared" si="6"/>
        <v>0</v>
      </c>
      <c r="U34" s="698" t="str">
        <f>EQUIPEMENTS!U34</f>
        <v>N</v>
      </c>
      <c r="V34" s="698" t="str">
        <f>EQUIPEMENTS!V34</f>
        <v>N</v>
      </c>
      <c r="W34" s="485" t="str">
        <f>EQUIPEMENTS!W34</f>
        <v>O</v>
      </c>
      <c r="X34" s="698" t="str">
        <f>EQUIPEMENTS!X34</f>
        <v>O</v>
      </c>
      <c r="Y34" s="699">
        <f>EQUIPEMENTS!Y34</f>
        <v>4.9999999999999982E-11</v>
      </c>
      <c r="Z34" s="700">
        <f t="shared" si="7"/>
        <v>4.9999999999999982E-2</v>
      </c>
      <c r="AA34" s="701" t="str">
        <f t="shared" si="2"/>
        <v>N</v>
      </c>
      <c r="AC34" s="287"/>
      <c r="AD34" s="288">
        <f t="shared" si="8"/>
        <v>4.9999999999999982E-11</v>
      </c>
      <c r="AE34" s="288">
        <f t="shared" si="9"/>
        <v>0</v>
      </c>
      <c r="AF34" s="288"/>
      <c r="AN34" s="279">
        <f>IF([1]APPLICATION!Z31&gt;3000,0.2,0)</f>
        <v>0</v>
      </c>
      <c r="AO34" s="631">
        <f t="shared" si="21"/>
        <v>0</v>
      </c>
      <c r="AP34" s="631">
        <f t="shared" si="10"/>
        <v>0</v>
      </c>
      <c r="AT34" s="631">
        <f t="shared" si="11"/>
        <v>1</v>
      </c>
      <c r="AU34" s="631">
        <f t="shared" si="3"/>
        <v>0</v>
      </c>
      <c r="BC34" s="291">
        <f t="shared" si="4"/>
        <v>0</v>
      </c>
      <c r="BD34" s="292"/>
      <c r="BE34" s="292"/>
      <c r="BF34" s="292"/>
      <c r="BG34" s="292"/>
      <c r="BH34" s="292"/>
      <c r="BI34" s="292"/>
      <c r="BJ34" s="292"/>
      <c r="BK34" s="292"/>
      <c r="BL34" s="292"/>
      <c r="BM34" s="292"/>
      <c r="BN34" s="292"/>
      <c r="BO34" s="292"/>
      <c r="BP34" s="292"/>
      <c r="BU34" s="633">
        <f t="shared" si="12"/>
        <v>0</v>
      </c>
      <c r="EA34" s="633">
        <f t="shared" si="13"/>
        <v>-0.5</v>
      </c>
      <c r="EB34" s="633">
        <f t="shared" si="14"/>
        <v>0.25</v>
      </c>
      <c r="EC34" s="633">
        <f t="shared" si="15"/>
        <v>-0.25</v>
      </c>
      <c r="ED34" s="633">
        <f t="shared" si="22"/>
        <v>0</v>
      </c>
      <c r="EF34" s="702">
        <f>[1]APPLICATION!Z31</f>
        <v>2499</v>
      </c>
      <c r="EG34" s="633">
        <f t="shared" si="16"/>
        <v>1</v>
      </c>
      <c r="EH34" s="633">
        <f t="shared" si="5"/>
        <v>0</v>
      </c>
      <c r="EK34" s="633">
        <f t="shared" si="17"/>
        <v>1</v>
      </c>
      <c r="EN34" s="633">
        <f t="shared" si="18"/>
        <v>0</v>
      </c>
      <c r="EO34" s="633">
        <f t="shared" si="19"/>
        <v>0</v>
      </c>
      <c r="EP34" s="633">
        <f t="shared" si="20"/>
        <v>0</v>
      </c>
      <c r="EQ34" s="633"/>
      <c r="ER34" s="633"/>
      <c r="ES34" s="633"/>
      <c r="ET34" s="633"/>
      <c r="EU34" s="633"/>
      <c r="EV34" s="633"/>
      <c r="EW34" s="633"/>
    </row>
    <row r="35" spans="1:153" ht="15.75" customHeight="1">
      <c r="A35" s="283">
        <f t="shared" si="0"/>
        <v>0</v>
      </c>
      <c r="B35" s="284">
        <v>12</v>
      </c>
      <c r="C35" s="403">
        <f>EQUIPEMENTS!C35</f>
        <v>0</v>
      </c>
      <c r="D35" s="1048" t="str">
        <f>EQUIPEMENTS!D35</f>
        <v xml:space="preserve"> </v>
      </c>
      <c r="E35" s="1049"/>
      <c r="F35" s="1050"/>
      <c r="G35" s="1051" t="str">
        <f>EQUIPEMENTS!G35</f>
        <v xml:space="preserve"> </v>
      </c>
      <c r="H35" s="1052"/>
      <c r="I35" s="1053"/>
      <c r="J35" s="1054" t="str">
        <f>EQUIPEMENTS!J35</f>
        <v xml:space="preserve"> </v>
      </c>
      <c r="K35" s="1052"/>
      <c r="L35" s="1053"/>
      <c r="M35" s="1055" t="str">
        <f>EQUIPEMENTS!M35</f>
        <v xml:space="preserve"> </v>
      </c>
      <c r="N35" s="1056"/>
      <c r="O35" s="1057"/>
      <c r="P35" s="1058">
        <f>[2]EQUIPEMENTS!P35</f>
        <v>9.9999999999999995E-8</v>
      </c>
      <c r="Q35" s="1059"/>
      <c r="R35" s="1060">
        <f>[2]EQUIPEMENTS!R35</f>
        <v>1500</v>
      </c>
      <c r="S35" s="1061"/>
      <c r="T35" s="285">
        <f t="shared" si="6"/>
        <v>0</v>
      </c>
      <c r="U35" s="698" t="str">
        <f>EQUIPEMENTS!U35</f>
        <v>N</v>
      </c>
      <c r="V35" s="698" t="str">
        <f>EQUIPEMENTS!V35</f>
        <v>N</v>
      </c>
      <c r="W35" s="485" t="str">
        <f>EQUIPEMENTS!W35</f>
        <v>O</v>
      </c>
      <c r="X35" s="698" t="str">
        <f>EQUIPEMENTS!X35</f>
        <v>O</v>
      </c>
      <c r="Y35" s="699">
        <f>EQUIPEMENTS!Y35</f>
        <v>4.9999999999999982E-11</v>
      </c>
      <c r="Z35" s="700">
        <f t="shared" si="7"/>
        <v>4.9999999999999982E-2</v>
      </c>
      <c r="AA35" s="701" t="str">
        <f t="shared" si="2"/>
        <v>N</v>
      </c>
      <c r="AC35" s="287"/>
      <c r="AD35" s="288">
        <f t="shared" si="8"/>
        <v>4.9999999999999982E-11</v>
      </c>
      <c r="AE35" s="288">
        <f t="shared" si="9"/>
        <v>0</v>
      </c>
      <c r="AF35" s="288"/>
      <c r="AG35" s="631" t="s">
        <v>29</v>
      </c>
      <c r="AH35" s="296" t="e">
        <f>#REF!</f>
        <v>#REF!</v>
      </c>
      <c r="AI35" s="296"/>
      <c r="AJ35" s="296"/>
      <c r="AK35" s="296"/>
      <c r="AL35" s="296"/>
      <c r="AM35" s="296"/>
      <c r="AN35" s="279">
        <f>IF([1]APPLICATION!Z32&gt;3000,0.2,0)</f>
        <v>0</v>
      </c>
      <c r="AO35" s="631">
        <f t="shared" si="21"/>
        <v>0</v>
      </c>
      <c r="AP35" s="631">
        <f t="shared" si="10"/>
        <v>0</v>
      </c>
      <c r="AT35" s="631">
        <f t="shared" si="11"/>
        <v>1</v>
      </c>
      <c r="AU35" s="631">
        <f t="shared" si="3"/>
        <v>0</v>
      </c>
      <c r="BC35" s="291">
        <f t="shared" si="4"/>
        <v>0</v>
      </c>
      <c r="BD35" s="292"/>
      <c r="BE35" s="292"/>
      <c r="BF35" s="292"/>
      <c r="BG35" s="292"/>
      <c r="BH35" s="292"/>
      <c r="BI35" s="292"/>
      <c r="BJ35" s="292"/>
      <c r="BK35" s="292"/>
      <c r="BL35" s="292"/>
      <c r="BM35" s="292"/>
      <c r="BN35" s="292"/>
      <c r="BO35" s="292"/>
      <c r="BP35" s="292"/>
      <c r="BU35" s="633">
        <f t="shared" si="12"/>
        <v>0</v>
      </c>
      <c r="EA35" s="633">
        <f t="shared" si="13"/>
        <v>-0.5</v>
      </c>
      <c r="EB35" s="633">
        <f t="shared" si="14"/>
        <v>0.25</v>
      </c>
      <c r="EC35" s="633">
        <f t="shared" si="15"/>
        <v>-0.25</v>
      </c>
      <c r="ED35" s="633">
        <f t="shared" si="22"/>
        <v>0</v>
      </c>
      <c r="EF35" s="702">
        <f>[1]APPLICATION!Z32</f>
        <v>2499</v>
      </c>
      <c r="EG35" s="633">
        <f t="shared" si="16"/>
        <v>1</v>
      </c>
      <c r="EH35" s="633">
        <f t="shared" si="5"/>
        <v>0</v>
      </c>
      <c r="EK35" s="633">
        <f t="shared" si="17"/>
        <v>1</v>
      </c>
      <c r="EN35" s="633">
        <f t="shared" si="18"/>
        <v>0</v>
      </c>
      <c r="EO35" s="633">
        <f t="shared" si="19"/>
        <v>0</v>
      </c>
      <c r="EP35" s="633">
        <f t="shared" si="20"/>
        <v>0</v>
      </c>
      <c r="EQ35" s="633"/>
      <c r="ER35" s="633"/>
      <c r="ES35" s="633"/>
      <c r="ET35" s="633"/>
      <c r="EU35" s="633"/>
      <c r="EV35" s="633"/>
      <c r="EW35" s="633"/>
    </row>
    <row r="36" spans="1:153" ht="15.75" customHeight="1">
      <c r="A36" s="283">
        <f t="shared" si="0"/>
        <v>0</v>
      </c>
      <c r="B36" s="284">
        <v>13</v>
      </c>
      <c r="C36" s="403">
        <f>EQUIPEMENTS!C36</f>
        <v>0</v>
      </c>
      <c r="D36" s="1048" t="str">
        <f>EQUIPEMENTS!D36</f>
        <v xml:space="preserve"> </v>
      </c>
      <c r="E36" s="1049"/>
      <c r="F36" s="1050"/>
      <c r="G36" s="1051" t="str">
        <f>EQUIPEMENTS!G36</f>
        <v xml:space="preserve"> </v>
      </c>
      <c r="H36" s="1052"/>
      <c r="I36" s="1053"/>
      <c r="J36" s="1054" t="str">
        <f>EQUIPEMENTS!J36</f>
        <v xml:space="preserve"> </v>
      </c>
      <c r="K36" s="1052"/>
      <c r="L36" s="1053"/>
      <c r="M36" s="1055" t="str">
        <f>EQUIPEMENTS!M36</f>
        <v xml:space="preserve"> </v>
      </c>
      <c r="N36" s="1056"/>
      <c r="O36" s="1057"/>
      <c r="P36" s="1058">
        <f>[2]EQUIPEMENTS!P36</f>
        <v>9.9999999999999995E-8</v>
      </c>
      <c r="Q36" s="1059"/>
      <c r="R36" s="1060">
        <f>[2]EQUIPEMENTS!R36</f>
        <v>1500</v>
      </c>
      <c r="S36" s="1061"/>
      <c r="T36" s="285">
        <f t="shared" si="6"/>
        <v>0</v>
      </c>
      <c r="U36" s="698" t="str">
        <f>EQUIPEMENTS!U36</f>
        <v>N</v>
      </c>
      <c r="V36" s="698" t="str">
        <f>EQUIPEMENTS!V36</f>
        <v>N</v>
      </c>
      <c r="W36" s="485" t="str">
        <f>EQUIPEMENTS!W36</f>
        <v>O</v>
      </c>
      <c r="X36" s="698" t="str">
        <f>EQUIPEMENTS!X36</f>
        <v>O</v>
      </c>
      <c r="Y36" s="699">
        <f>EQUIPEMENTS!Y36</f>
        <v>4.9999999999999982E-11</v>
      </c>
      <c r="Z36" s="700">
        <f t="shared" si="7"/>
        <v>4.9999999999999982E-2</v>
      </c>
      <c r="AA36" s="701" t="str">
        <f t="shared" si="2"/>
        <v>N</v>
      </c>
      <c r="AC36" s="287"/>
      <c r="AD36" s="288">
        <f t="shared" si="8"/>
        <v>4.9999999999999982E-11</v>
      </c>
      <c r="AE36" s="288">
        <f t="shared" si="9"/>
        <v>0</v>
      </c>
      <c r="AF36" s="288"/>
      <c r="AG36" s="631" t="s">
        <v>30</v>
      </c>
      <c r="AH36" s="296">
        <f>P50</f>
        <v>2.4999999999999985E-6</v>
      </c>
      <c r="AI36" s="296"/>
      <c r="AJ36" s="296"/>
      <c r="AK36" s="296"/>
      <c r="AL36" s="296"/>
      <c r="AM36" s="296"/>
      <c r="AN36" s="279">
        <f>IF([1]APPLICATION!Z33&gt;3000,0.2,0)</f>
        <v>0</v>
      </c>
      <c r="AO36" s="631">
        <f t="shared" si="21"/>
        <v>0</v>
      </c>
      <c r="AP36" s="631">
        <f t="shared" si="10"/>
        <v>0</v>
      </c>
      <c r="AT36" s="631">
        <f t="shared" si="11"/>
        <v>1</v>
      </c>
      <c r="AU36" s="631">
        <f t="shared" si="3"/>
        <v>0</v>
      </c>
      <c r="BC36" s="291">
        <f t="shared" si="4"/>
        <v>0</v>
      </c>
      <c r="BD36" s="292"/>
      <c r="BE36" s="292"/>
      <c r="BF36" s="292"/>
      <c r="BG36" s="292"/>
      <c r="BH36" s="292"/>
      <c r="BI36" s="292"/>
      <c r="BJ36" s="292"/>
      <c r="BK36" s="292"/>
      <c r="BL36" s="292"/>
      <c r="BM36" s="292"/>
      <c r="BN36" s="292"/>
      <c r="BO36" s="292"/>
      <c r="BP36" s="292"/>
      <c r="BU36" s="633">
        <f t="shared" si="12"/>
        <v>0</v>
      </c>
      <c r="EA36" s="633">
        <f t="shared" si="13"/>
        <v>-0.5</v>
      </c>
      <c r="EB36" s="633">
        <f t="shared" si="14"/>
        <v>0.25</v>
      </c>
      <c r="EC36" s="633">
        <f t="shared" si="15"/>
        <v>-0.25</v>
      </c>
      <c r="ED36" s="633">
        <f t="shared" si="22"/>
        <v>0</v>
      </c>
      <c r="EF36" s="702">
        <f>[1]APPLICATION!Z33</f>
        <v>2499</v>
      </c>
      <c r="EG36" s="633">
        <f t="shared" si="16"/>
        <v>1</v>
      </c>
      <c r="EH36" s="633">
        <f t="shared" si="5"/>
        <v>0</v>
      </c>
      <c r="EK36" s="633">
        <f t="shared" si="17"/>
        <v>1</v>
      </c>
      <c r="EN36" s="633">
        <f t="shared" si="18"/>
        <v>0</v>
      </c>
      <c r="EO36" s="633">
        <f t="shared" si="19"/>
        <v>0</v>
      </c>
      <c r="EP36" s="633">
        <f t="shared" si="20"/>
        <v>0</v>
      </c>
      <c r="EQ36" s="633"/>
      <c r="ER36" s="633"/>
      <c r="ES36" s="633"/>
      <c r="ET36" s="633"/>
      <c r="EU36" s="633"/>
      <c r="EV36" s="633"/>
      <c r="EW36" s="633"/>
    </row>
    <row r="37" spans="1:153" ht="15.75" customHeight="1">
      <c r="A37" s="283">
        <f t="shared" si="0"/>
        <v>0</v>
      </c>
      <c r="B37" s="284">
        <v>14</v>
      </c>
      <c r="C37" s="403">
        <f>EQUIPEMENTS!C37</f>
        <v>0</v>
      </c>
      <c r="D37" s="1048" t="str">
        <f>EQUIPEMENTS!D37</f>
        <v xml:space="preserve"> </v>
      </c>
      <c r="E37" s="1049"/>
      <c r="F37" s="1050"/>
      <c r="G37" s="1051" t="str">
        <f>EQUIPEMENTS!G37</f>
        <v xml:space="preserve"> </v>
      </c>
      <c r="H37" s="1052"/>
      <c r="I37" s="1053"/>
      <c r="J37" s="1054" t="str">
        <f>EQUIPEMENTS!J37</f>
        <v xml:space="preserve"> </v>
      </c>
      <c r="K37" s="1052"/>
      <c r="L37" s="1053"/>
      <c r="M37" s="1055" t="str">
        <f>EQUIPEMENTS!M37</f>
        <v xml:space="preserve"> </v>
      </c>
      <c r="N37" s="1056"/>
      <c r="O37" s="1057"/>
      <c r="P37" s="1058">
        <f>[2]EQUIPEMENTS!P37</f>
        <v>9.9999999999999995E-8</v>
      </c>
      <c r="Q37" s="1059"/>
      <c r="R37" s="1060">
        <f>[2]EQUIPEMENTS!R37</f>
        <v>1500</v>
      </c>
      <c r="S37" s="1061"/>
      <c r="T37" s="285">
        <f t="shared" si="6"/>
        <v>0</v>
      </c>
      <c r="U37" s="698" t="str">
        <f>EQUIPEMENTS!U37</f>
        <v>N</v>
      </c>
      <c r="V37" s="698" t="str">
        <f>EQUIPEMENTS!V37</f>
        <v>N</v>
      </c>
      <c r="W37" s="485" t="str">
        <f>EQUIPEMENTS!W37</f>
        <v>O</v>
      </c>
      <c r="X37" s="698" t="str">
        <f>EQUIPEMENTS!X37</f>
        <v>O</v>
      </c>
      <c r="Y37" s="699">
        <f>EQUIPEMENTS!Y37</f>
        <v>4.9999999999999982E-11</v>
      </c>
      <c r="Z37" s="700">
        <f t="shared" si="7"/>
        <v>4.9999999999999982E-2</v>
      </c>
      <c r="AA37" s="701" t="str">
        <f t="shared" si="2"/>
        <v>N</v>
      </c>
      <c r="AC37" s="287"/>
      <c r="AD37" s="288">
        <f t="shared" si="8"/>
        <v>4.9999999999999982E-11</v>
      </c>
      <c r="AE37" s="288">
        <f t="shared" si="9"/>
        <v>0</v>
      </c>
      <c r="AF37" s="288"/>
      <c r="AG37" s="631" t="s">
        <v>31</v>
      </c>
      <c r="AH37" s="296">
        <f>Y50</f>
        <v>0</v>
      </c>
      <c r="AI37" s="296"/>
      <c r="AJ37" s="296"/>
      <c r="AK37" s="296"/>
      <c r="AL37" s="296"/>
      <c r="AM37" s="296"/>
      <c r="AN37" s="279">
        <f>IF([1]APPLICATION!Z34&gt;3000,0.2,0)</f>
        <v>0</v>
      </c>
      <c r="AO37" s="631">
        <f t="shared" si="21"/>
        <v>0</v>
      </c>
      <c r="AP37" s="631">
        <f t="shared" si="10"/>
        <v>0</v>
      </c>
      <c r="AT37" s="631">
        <f t="shared" si="11"/>
        <v>1</v>
      </c>
      <c r="AU37" s="631">
        <f t="shared" si="3"/>
        <v>0</v>
      </c>
      <c r="BC37" s="291">
        <f t="shared" si="4"/>
        <v>0</v>
      </c>
      <c r="BD37" s="292"/>
      <c r="BE37" s="292"/>
      <c r="BF37" s="292"/>
      <c r="BG37" s="292"/>
      <c r="BH37" s="292"/>
      <c r="BI37" s="292"/>
      <c r="BJ37" s="292"/>
      <c r="BK37" s="292"/>
      <c r="BL37" s="292"/>
      <c r="BM37" s="292"/>
      <c r="BN37" s="292"/>
      <c r="BO37" s="292"/>
      <c r="BP37" s="292"/>
      <c r="BU37" s="633">
        <f t="shared" si="12"/>
        <v>0</v>
      </c>
      <c r="EA37" s="633">
        <f t="shared" si="13"/>
        <v>-0.5</v>
      </c>
      <c r="EB37" s="633">
        <f t="shared" si="14"/>
        <v>0.25</v>
      </c>
      <c r="EC37" s="633">
        <f t="shared" si="15"/>
        <v>-0.25</v>
      </c>
      <c r="ED37" s="633">
        <f t="shared" si="22"/>
        <v>0</v>
      </c>
      <c r="EF37" s="702">
        <f>[1]APPLICATION!Z34</f>
        <v>2499</v>
      </c>
      <c r="EG37" s="633">
        <f t="shared" si="16"/>
        <v>1</v>
      </c>
      <c r="EH37" s="633">
        <f t="shared" si="5"/>
        <v>0</v>
      </c>
      <c r="EK37" s="633">
        <f t="shared" si="17"/>
        <v>1</v>
      </c>
      <c r="EN37" s="633">
        <f t="shared" si="18"/>
        <v>0</v>
      </c>
      <c r="EO37" s="633">
        <f t="shared" si="19"/>
        <v>0</v>
      </c>
      <c r="EP37" s="633">
        <f t="shared" si="20"/>
        <v>0</v>
      </c>
      <c r="EQ37" s="633"/>
      <c r="ER37" s="633"/>
      <c r="ES37" s="633"/>
      <c r="ET37" s="633"/>
      <c r="EU37" s="633"/>
      <c r="EV37" s="633"/>
      <c r="EW37" s="633"/>
    </row>
    <row r="38" spans="1:153" ht="15.75" customHeight="1">
      <c r="A38" s="283">
        <f t="shared" si="0"/>
        <v>0</v>
      </c>
      <c r="B38" s="284">
        <v>15</v>
      </c>
      <c r="C38" s="403">
        <f>EQUIPEMENTS!C38</f>
        <v>0</v>
      </c>
      <c r="D38" s="1048" t="str">
        <f>EQUIPEMENTS!D38</f>
        <v xml:space="preserve"> </v>
      </c>
      <c r="E38" s="1049"/>
      <c r="F38" s="1050"/>
      <c r="G38" s="1051" t="str">
        <f>EQUIPEMENTS!G38</f>
        <v xml:space="preserve"> </v>
      </c>
      <c r="H38" s="1052"/>
      <c r="I38" s="1053"/>
      <c r="J38" s="1054" t="str">
        <f>EQUIPEMENTS!J38</f>
        <v xml:space="preserve"> </v>
      </c>
      <c r="K38" s="1052"/>
      <c r="L38" s="1053"/>
      <c r="M38" s="1055" t="str">
        <f>EQUIPEMENTS!M38</f>
        <v xml:space="preserve"> </v>
      </c>
      <c r="N38" s="1056"/>
      <c r="O38" s="1057"/>
      <c r="P38" s="1058">
        <f>[2]EQUIPEMENTS!P38</f>
        <v>9.9999999999999995E-8</v>
      </c>
      <c r="Q38" s="1059"/>
      <c r="R38" s="1060">
        <f>[2]EQUIPEMENTS!R38</f>
        <v>1500</v>
      </c>
      <c r="S38" s="1061"/>
      <c r="T38" s="285">
        <f t="shared" si="6"/>
        <v>0</v>
      </c>
      <c r="U38" s="698" t="str">
        <f>EQUIPEMENTS!U38</f>
        <v>N</v>
      </c>
      <c r="V38" s="698" t="str">
        <f>EQUIPEMENTS!V38</f>
        <v>N</v>
      </c>
      <c r="W38" s="485" t="str">
        <f>EQUIPEMENTS!W38</f>
        <v>O</v>
      </c>
      <c r="X38" s="698" t="str">
        <f>EQUIPEMENTS!X38</f>
        <v>O</v>
      </c>
      <c r="Y38" s="699">
        <f>EQUIPEMENTS!Y38</f>
        <v>4.9999999999999982E-11</v>
      </c>
      <c r="Z38" s="700">
        <f t="shared" si="7"/>
        <v>4.9999999999999982E-2</v>
      </c>
      <c r="AA38" s="701" t="str">
        <f t="shared" si="2"/>
        <v>N</v>
      </c>
      <c r="AC38" s="287"/>
      <c r="AD38" s="288">
        <f t="shared" si="8"/>
        <v>4.9999999999999982E-11</v>
      </c>
      <c r="AE38" s="288">
        <f t="shared" si="9"/>
        <v>0</v>
      </c>
      <c r="AF38" s="288"/>
      <c r="AG38" s="631" t="s">
        <v>32</v>
      </c>
      <c r="AH38" s="296" t="e">
        <f>#REF!</f>
        <v>#REF!</v>
      </c>
      <c r="AI38" s="296"/>
      <c r="AJ38" s="296"/>
      <c r="AK38" s="296"/>
      <c r="AL38" s="296"/>
      <c r="AM38" s="296"/>
      <c r="AN38" s="279">
        <f>IF([1]APPLICATION!Z35&gt;3000,0.2,0)</f>
        <v>0</v>
      </c>
      <c r="AO38" s="631">
        <f t="shared" si="21"/>
        <v>0</v>
      </c>
      <c r="AP38" s="631">
        <f t="shared" si="10"/>
        <v>0</v>
      </c>
      <c r="AT38" s="631">
        <f t="shared" si="11"/>
        <v>1</v>
      </c>
      <c r="AU38" s="631">
        <f t="shared" si="3"/>
        <v>0</v>
      </c>
      <c r="BC38" s="291">
        <f t="shared" si="4"/>
        <v>0</v>
      </c>
      <c r="BD38" s="292"/>
      <c r="BE38" s="292"/>
      <c r="BF38" s="292"/>
      <c r="BG38" s="292"/>
      <c r="BH38" s="292"/>
      <c r="BI38" s="292"/>
      <c r="BJ38" s="292"/>
      <c r="BK38" s="292"/>
      <c r="BL38" s="292"/>
      <c r="BM38" s="292"/>
      <c r="BN38" s="292"/>
      <c r="BO38" s="292"/>
      <c r="BP38" s="292"/>
      <c r="BU38" s="633">
        <f t="shared" si="12"/>
        <v>0</v>
      </c>
      <c r="EA38" s="633">
        <f t="shared" si="13"/>
        <v>-0.5</v>
      </c>
      <c r="EB38" s="633">
        <f t="shared" si="14"/>
        <v>0.25</v>
      </c>
      <c r="EC38" s="633">
        <f t="shared" si="15"/>
        <v>-0.25</v>
      </c>
      <c r="ED38" s="633">
        <f t="shared" si="22"/>
        <v>0</v>
      </c>
      <c r="EF38" s="702">
        <f>[1]APPLICATION!Z35</f>
        <v>2499</v>
      </c>
      <c r="EG38" s="633">
        <f t="shared" si="16"/>
        <v>1</v>
      </c>
      <c r="EH38" s="633">
        <f t="shared" si="5"/>
        <v>0</v>
      </c>
      <c r="EK38" s="633">
        <f t="shared" si="17"/>
        <v>1</v>
      </c>
      <c r="EN38" s="633">
        <f t="shared" si="18"/>
        <v>0</v>
      </c>
      <c r="EO38" s="633">
        <f t="shared" si="19"/>
        <v>0</v>
      </c>
      <c r="EP38" s="633">
        <f t="shared" si="20"/>
        <v>0</v>
      </c>
      <c r="EQ38" s="633"/>
      <c r="ER38" s="633"/>
      <c r="ES38" s="633"/>
      <c r="ET38" s="633"/>
      <c r="EU38" s="633"/>
      <c r="EV38" s="633"/>
      <c r="EW38" s="633"/>
    </row>
    <row r="39" spans="1:153" ht="15.75" customHeight="1">
      <c r="A39" s="283">
        <f t="shared" si="0"/>
        <v>0</v>
      </c>
      <c r="B39" s="284">
        <v>16</v>
      </c>
      <c r="C39" s="403">
        <f>EQUIPEMENTS!C39</f>
        <v>0</v>
      </c>
      <c r="D39" s="1048" t="str">
        <f>EQUIPEMENTS!D39</f>
        <v xml:space="preserve"> </v>
      </c>
      <c r="E39" s="1049"/>
      <c r="F39" s="1050"/>
      <c r="G39" s="1051" t="str">
        <f>EQUIPEMENTS!G39</f>
        <v xml:space="preserve"> </v>
      </c>
      <c r="H39" s="1052"/>
      <c r="I39" s="1053"/>
      <c r="J39" s="1054" t="str">
        <f>EQUIPEMENTS!J39</f>
        <v xml:space="preserve"> </v>
      </c>
      <c r="K39" s="1052"/>
      <c r="L39" s="1053"/>
      <c r="M39" s="1055" t="str">
        <f>EQUIPEMENTS!M39</f>
        <v xml:space="preserve"> </v>
      </c>
      <c r="N39" s="1056"/>
      <c r="O39" s="1057"/>
      <c r="P39" s="1058">
        <f>[2]EQUIPEMENTS!P39</f>
        <v>9.9999999999999995E-8</v>
      </c>
      <c r="Q39" s="1059"/>
      <c r="R39" s="1060">
        <f>[2]EQUIPEMENTS!R39</f>
        <v>1500</v>
      </c>
      <c r="S39" s="1061"/>
      <c r="T39" s="285">
        <f t="shared" si="6"/>
        <v>0</v>
      </c>
      <c r="U39" s="698" t="str">
        <f>EQUIPEMENTS!U39</f>
        <v>N</v>
      </c>
      <c r="V39" s="698" t="str">
        <f>EQUIPEMENTS!V39</f>
        <v>N</v>
      </c>
      <c r="W39" s="485" t="str">
        <f>EQUIPEMENTS!W39</f>
        <v>O</v>
      </c>
      <c r="X39" s="698" t="str">
        <f>EQUIPEMENTS!X39</f>
        <v>O</v>
      </c>
      <c r="Y39" s="699">
        <f>EQUIPEMENTS!Y39</f>
        <v>4.9999999999999982E-11</v>
      </c>
      <c r="Z39" s="700">
        <f t="shared" si="7"/>
        <v>4.9999999999999982E-2</v>
      </c>
      <c r="AA39" s="701" t="str">
        <f t="shared" si="2"/>
        <v>N</v>
      </c>
      <c r="AC39" s="287"/>
      <c r="AD39" s="288">
        <f t="shared" si="8"/>
        <v>4.9999999999999982E-11</v>
      </c>
      <c r="AE39" s="288">
        <f t="shared" si="9"/>
        <v>0</v>
      </c>
      <c r="AF39" s="288"/>
      <c r="AG39" s="631" t="s">
        <v>33</v>
      </c>
      <c r="AH39" s="296" t="e">
        <f>#REF!</f>
        <v>#REF!</v>
      </c>
      <c r="AI39" s="296"/>
      <c r="AJ39" s="296"/>
      <c r="AK39" s="296"/>
      <c r="AL39" s="296"/>
      <c r="AM39" s="296"/>
      <c r="AN39" s="279">
        <f>IF([1]APPLICATION!Z36&gt;3000,0.2,0)</f>
        <v>0</v>
      </c>
      <c r="AO39" s="631">
        <f t="shared" si="21"/>
        <v>0</v>
      </c>
      <c r="AP39" s="631">
        <f t="shared" si="10"/>
        <v>0</v>
      </c>
      <c r="AT39" s="631">
        <f t="shared" si="11"/>
        <v>1</v>
      </c>
      <c r="AU39" s="631">
        <f t="shared" si="3"/>
        <v>0</v>
      </c>
      <c r="BC39" s="291">
        <f t="shared" si="4"/>
        <v>0</v>
      </c>
      <c r="BD39" s="292"/>
      <c r="BE39" s="292"/>
      <c r="BF39" s="292"/>
      <c r="BG39" s="292"/>
      <c r="BH39" s="292"/>
      <c r="BI39" s="292"/>
      <c r="BJ39" s="292"/>
      <c r="BK39" s="292"/>
      <c r="BL39" s="292"/>
      <c r="BM39" s="292"/>
      <c r="BN39" s="292"/>
      <c r="BO39" s="292"/>
      <c r="BP39" s="292"/>
      <c r="BU39" s="633">
        <f t="shared" si="12"/>
        <v>0</v>
      </c>
      <c r="EA39" s="633">
        <f t="shared" si="13"/>
        <v>-0.5</v>
      </c>
      <c r="EB39" s="633">
        <f t="shared" si="14"/>
        <v>0.25</v>
      </c>
      <c r="EC39" s="633">
        <f t="shared" si="15"/>
        <v>-0.25</v>
      </c>
      <c r="ED39" s="633">
        <f t="shared" si="22"/>
        <v>0</v>
      </c>
      <c r="EF39" s="702">
        <f>[1]APPLICATION!Z36</f>
        <v>2499</v>
      </c>
      <c r="EG39" s="633">
        <f t="shared" si="16"/>
        <v>1</v>
      </c>
      <c r="EH39" s="633">
        <f t="shared" si="5"/>
        <v>0</v>
      </c>
      <c r="EK39" s="633">
        <f t="shared" si="17"/>
        <v>1</v>
      </c>
      <c r="EN39" s="633">
        <f t="shared" si="18"/>
        <v>0</v>
      </c>
      <c r="EO39" s="633">
        <f t="shared" si="19"/>
        <v>0</v>
      </c>
      <c r="EP39" s="633">
        <f t="shared" si="20"/>
        <v>0</v>
      </c>
      <c r="EQ39" s="633"/>
      <c r="ER39" s="633"/>
      <c r="ES39" s="633"/>
      <c r="ET39" s="633"/>
      <c r="EU39" s="633"/>
      <c r="EV39" s="633"/>
      <c r="EW39" s="633"/>
    </row>
    <row r="40" spans="1:153" ht="15.75" customHeight="1">
      <c r="A40" s="283">
        <f t="shared" si="0"/>
        <v>0</v>
      </c>
      <c r="B40" s="284">
        <v>17</v>
      </c>
      <c r="C40" s="403">
        <f>EQUIPEMENTS!C40</f>
        <v>0</v>
      </c>
      <c r="D40" s="1048" t="str">
        <f>EQUIPEMENTS!D40</f>
        <v xml:space="preserve"> </v>
      </c>
      <c r="E40" s="1049"/>
      <c r="F40" s="1050"/>
      <c r="G40" s="1051" t="str">
        <f>EQUIPEMENTS!G40</f>
        <v xml:space="preserve"> </v>
      </c>
      <c r="H40" s="1052"/>
      <c r="I40" s="1053"/>
      <c r="J40" s="1054" t="str">
        <f>EQUIPEMENTS!J40</f>
        <v xml:space="preserve"> </v>
      </c>
      <c r="K40" s="1052"/>
      <c r="L40" s="1053"/>
      <c r="M40" s="1055" t="str">
        <f>EQUIPEMENTS!M40</f>
        <v xml:space="preserve"> </v>
      </c>
      <c r="N40" s="1056"/>
      <c r="O40" s="1057"/>
      <c r="P40" s="1058">
        <f>[2]EQUIPEMENTS!P40</f>
        <v>9.9999999999999995E-8</v>
      </c>
      <c r="Q40" s="1059"/>
      <c r="R40" s="1060">
        <f>[2]EQUIPEMENTS!R40</f>
        <v>1500</v>
      </c>
      <c r="S40" s="1061"/>
      <c r="T40" s="285">
        <f t="shared" si="6"/>
        <v>0</v>
      </c>
      <c r="U40" s="698" t="str">
        <f>EQUIPEMENTS!U40</f>
        <v>N</v>
      </c>
      <c r="V40" s="698" t="str">
        <f>EQUIPEMENTS!V40</f>
        <v>N</v>
      </c>
      <c r="W40" s="485" t="str">
        <f>EQUIPEMENTS!W40</f>
        <v>O</v>
      </c>
      <c r="X40" s="698" t="str">
        <f>EQUIPEMENTS!X40</f>
        <v>O</v>
      </c>
      <c r="Y40" s="699">
        <f>EQUIPEMENTS!Y40</f>
        <v>4.9999999999999982E-11</v>
      </c>
      <c r="Z40" s="700">
        <f t="shared" si="7"/>
        <v>4.9999999999999982E-2</v>
      </c>
      <c r="AA40" s="701" t="str">
        <f t="shared" si="2"/>
        <v>N</v>
      </c>
      <c r="AC40" s="287"/>
      <c r="AD40" s="288">
        <f t="shared" si="8"/>
        <v>4.9999999999999982E-11</v>
      </c>
      <c r="AE40" s="288">
        <f t="shared" si="9"/>
        <v>0</v>
      </c>
      <c r="AF40" s="288"/>
      <c r="AG40" s="631" t="s">
        <v>34</v>
      </c>
      <c r="AH40" s="297">
        <f>J50</f>
        <v>0.05</v>
      </c>
      <c r="AI40" s="297"/>
      <c r="AJ40" s="297"/>
      <c r="AK40" s="297"/>
      <c r="AL40" s="297"/>
      <c r="AM40" s="297"/>
      <c r="AN40" s="279">
        <f>IF([1]APPLICATION!Z37&gt;3000,0.2,0)</f>
        <v>0</v>
      </c>
      <c r="AO40" s="631">
        <f t="shared" si="21"/>
        <v>0</v>
      </c>
      <c r="AP40" s="631">
        <f t="shared" si="10"/>
        <v>0</v>
      </c>
      <c r="AT40" s="631">
        <f t="shared" si="11"/>
        <v>1</v>
      </c>
      <c r="AU40" s="631">
        <f t="shared" si="3"/>
        <v>0</v>
      </c>
      <c r="BC40" s="291">
        <f t="shared" si="4"/>
        <v>0</v>
      </c>
      <c r="BD40" s="292"/>
      <c r="BE40" s="292"/>
      <c r="BF40" s="292"/>
      <c r="BG40" s="292"/>
      <c r="BH40" s="292"/>
      <c r="BI40" s="292"/>
      <c r="BJ40" s="292"/>
      <c r="BK40" s="292"/>
      <c r="BL40" s="292"/>
      <c r="BM40" s="292"/>
      <c r="BN40" s="292"/>
      <c r="BO40" s="292"/>
      <c r="BP40" s="292"/>
      <c r="BU40" s="633">
        <f t="shared" si="12"/>
        <v>0</v>
      </c>
      <c r="EA40" s="633">
        <f t="shared" si="13"/>
        <v>-0.5</v>
      </c>
      <c r="EB40" s="633">
        <f t="shared" si="14"/>
        <v>0.25</v>
      </c>
      <c r="EC40" s="633">
        <f t="shared" si="15"/>
        <v>-0.25</v>
      </c>
      <c r="ED40" s="633">
        <f t="shared" si="22"/>
        <v>0</v>
      </c>
      <c r="EF40" s="702">
        <f>[1]APPLICATION!Z37</f>
        <v>2499</v>
      </c>
      <c r="EG40" s="633">
        <f t="shared" si="16"/>
        <v>1</v>
      </c>
      <c r="EH40" s="633">
        <f t="shared" si="5"/>
        <v>0</v>
      </c>
      <c r="EK40" s="633">
        <f t="shared" si="17"/>
        <v>1</v>
      </c>
      <c r="EN40" s="633">
        <f t="shared" si="18"/>
        <v>0</v>
      </c>
      <c r="EO40" s="633">
        <f t="shared" si="19"/>
        <v>0</v>
      </c>
      <c r="EP40" s="633">
        <f t="shared" si="20"/>
        <v>0</v>
      </c>
      <c r="EQ40" s="633"/>
      <c r="ER40" s="633"/>
      <c r="ES40" s="633"/>
      <c r="ET40" s="633"/>
      <c r="EU40" s="633"/>
      <c r="EV40" s="633"/>
      <c r="EW40" s="633"/>
    </row>
    <row r="41" spans="1:153" ht="15.75" customHeight="1">
      <c r="A41" s="283">
        <f t="shared" si="0"/>
        <v>0</v>
      </c>
      <c r="B41" s="284">
        <v>18</v>
      </c>
      <c r="C41" s="403">
        <f>EQUIPEMENTS!C41</f>
        <v>0</v>
      </c>
      <c r="D41" s="1048" t="str">
        <f>EQUIPEMENTS!D41</f>
        <v xml:space="preserve"> </v>
      </c>
      <c r="E41" s="1049"/>
      <c r="F41" s="1050"/>
      <c r="G41" s="1051" t="str">
        <f>EQUIPEMENTS!G41</f>
        <v xml:space="preserve"> </v>
      </c>
      <c r="H41" s="1052"/>
      <c r="I41" s="1053"/>
      <c r="J41" s="1054" t="str">
        <f>EQUIPEMENTS!J41</f>
        <v xml:space="preserve"> </v>
      </c>
      <c r="K41" s="1052"/>
      <c r="L41" s="1053"/>
      <c r="M41" s="1055" t="str">
        <f>EQUIPEMENTS!M41</f>
        <v xml:space="preserve"> </v>
      </c>
      <c r="N41" s="1056"/>
      <c r="O41" s="1057"/>
      <c r="P41" s="1058">
        <f>[2]EQUIPEMENTS!P41</f>
        <v>9.9999999999999995E-8</v>
      </c>
      <c r="Q41" s="1059"/>
      <c r="R41" s="1060">
        <f>[2]EQUIPEMENTS!R41</f>
        <v>1500</v>
      </c>
      <c r="S41" s="1061"/>
      <c r="T41" s="285">
        <f t="shared" si="6"/>
        <v>0</v>
      </c>
      <c r="U41" s="698" t="str">
        <f>EQUIPEMENTS!U41</f>
        <v>N</v>
      </c>
      <c r="V41" s="698" t="str">
        <f>EQUIPEMENTS!V41</f>
        <v>N</v>
      </c>
      <c r="W41" s="485" t="str">
        <f>EQUIPEMENTS!W41</f>
        <v>O</v>
      </c>
      <c r="X41" s="698" t="str">
        <f>EQUIPEMENTS!X41</f>
        <v>O</v>
      </c>
      <c r="Y41" s="699">
        <f>EQUIPEMENTS!Y41</f>
        <v>4.9999999999999982E-11</v>
      </c>
      <c r="Z41" s="700">
        <f t="shared" si="7"/>
        <v>4.9999999999999982E-2</v>
      </c>
      <c r="AA41" s="701" t="str">
        <f t="shared" si="2"/>
        <v>N</v>
      </c>
      <c r="AC41" s="287"/>
      <c r="AD41" s="288">
        <f t="shared" si="8"/>
        <v>4.9999999999999982E-11</v>
      </c>
      <c r="AE41" s="288">
        <f t="shared" si="9"/>
        <v>0</v>
      </c>
      <c r="AF41" s="288"/>
      <c r="AG41" s="631" t="s">
        <v>35</v>
      </c>
      <c r="AH41" s="294" t="str">
        <f>N13</f>
        <v>NONE</v>
      </c>
      <c r="AI41" s="294"/>
      <c r="AJ41" s="294"/>
      <c r="AK41" s="294"/>
      <c r="AL41" s="294"/>
      <c r="AM41" s="294"/>
      <c r="AN41" s="279">
        <f>IF([1]APPLICATION!Z38&gt;3000,0.2,0)</f>
        <v>0</v>
      </c>
      <c r="AO41" s="631">
        <f t="shared" si="21"/>
        <v>0</v>
      </c>
      <c r="AP41" s="631">
        <f t="shared" si="10"/>
        <v>0</v>
      </c>
      <c r="AT41" s="631">
        <f t="shared" si="11"/>
        <v>1</v>
      </c>
      <c r="AU41" s="631">
        <f t="shared" si="3"/>
        <v>0</v>
      </c>
      <c r="BC41" s="291">
        <f t="shared" si="4"/>
        <v>0</v>
      </c>
      <c r="BD41" s="292"/>
      <c r="BE41" s="292"/>
      <c r="BF41" s="292"/>
      <c r="BG41" s="292"/>
      <c r="BH41" s="292"/>
      <c r="BI41" s="292"/>
      <c r="BJ41" s="292"/>
      <c r="BK41" s="292"/>
      <c r="BL41" s="292"/>
      <c r="BM41" s="292"/>
      <c r="BN41" s="292"/>
      <c r="BO41" s="292"/>
      <c r="BP41" s="292"/>
      <c r="BU41" s="633">
        <f t="shared" si="12"/>
        <v>0</v>
      </c>
      <c r="EA41" s="633">
        <f t="shared" si="13"/>
        <v>-0.5</v>
      </c>
      <c r="EB41" s="633">
        <f t="shared" si="14"/>
        <v>0.25</v>
      </c>
      <c r="EC41" s="633">
        <f t="shared" si="15"/>
        <v>-0.25</v>
      </c>
      <c r="ED41" s="633">
        <f t="shared" si="22"/>
        <v>0</v>
      </c>
      <c r="EF41" s="702">
        <f>[1]APPLICATION!Z38</f>
        <v>2499</v>
      </c>
      <c r="EG41" s="633">
        <f t="shared" si="16"/>
        <v>1</v>
      </c>
      <c r="EH41" s="633">
        <f t="shared" si="5"/>
        <v>0</v>
      </c>
      <c r="EK41" s="633">
        <f t="shared" si="17"/>
        <v>1</v>
      </c>
      <c r="EN41" s="633">
        <f t="shared" si="18"/>
        <v>0</v>
      </c>
      <c r="EO41" s="633">
        <f t="shared" si="19"/>
        <v>0</v>
      </c>
      <c r="EP41" s="633">
        <f t="shared" si="20"/>
        <v>0</v>
      </c>
      <c r="EQ41" s="633"/>
      <c r="ER41" s="633"/>
      <c r="ES41" s="633"/>
      <c r="ET41" s="633"/>
      <c r="EU41" s="633"/>
      <c r="EV41" s="633"/>
      <c r="EW41" s="633"/>
    </row>
    <row r="42" spans="1:153" ht="15.75" customHeight="1">
      <c r="A42" s="283">
        <f t="shared" si="0"/>
        <v>0</v>
      </c>
      <c r="B42" s="284">
        <v>19</v>
      </c>
      <c r="C42" s="403">
        <f>EQUIPEMENTS!C42</f>
        <v>0</v>
      </c>
      <c r="D42" s="1048" t="str">
        <f>EQUIPEMENTS!D42</f>
        <v xml:space="preserve"> </v>
      </c>
      <c r="E42" s="1049"/>
      <c r="F42" s="1050"/>
      <c r="G42" s="1051" t="str">
        <f>EQUIPEMENTS!G42</f>
        <v xml:space="preserve"> </v>
      </c>
      <c r="H42" s="1052"/>
      <c r="I42" s="1053"/>
      <c r="J42" s="1054" t="str">
        <f>EQUIPEMENTS!J42</f>
        <v xml:space="preserve"> </v>
      </c>
      <c r="K42" s="1052"/>
      <c r="L42" s="1053"/>
      <c r="M42" s="1055" t="str">
        <f>EQUIPEMENTS!M42</f>
        <v xml:space="preserve"> </v>
      </c>
      <c r="N42" s="1056"/>
      <c r="O42" s="1057"/>
      <c r="P42" s="1058">
        <f>[2]EQUIPEMENTS!P42</f>
        <v>9.9999999999999995E-8</v>
      </c>
      <c r="Q42" s="1059"/>
      <c r="R42" s="1060">
        <f>[2]EQUIPEMENTS!R42</f>
        <v>1500</v>
      </c>
      <c r="S42" s="1061"/>
      <c r="T42" s="285">
        <f t="shared" si="6"/>
        <v>0</v>
      </c>
      <c r="U42" s="698" t="str">
        <f>EQUIPEMENTS!U42</f>
        <v>N</v>
      </c>
      <c r="V42" s="698" t="str">
        <f>EQUIPEMENTS!V42</f>
        <v>N</v>
      </c>
      <c r="W42" s="485" t="str">
        <f>EQUIPEMENTS!W42</f>
        <v>O</v>
      </c>
      <c r="X42" s="698" t="str">
        <f>EQUIPEMENTS!X42</f>
        <v>O</v>
      </c>
      <c r="Y42" s="699">
        <f>EQUIPEMENTS!Y42</f>
        <v>4.9999999999999982E-11</v>
      </c>
      <c r="Z42" s="700">
        <f t="shared" si="7"/>
        <v>4.9999999999999982E-2</v>
      </c>
      <c r="AA42" s="701" t="str">
        <f t="shared" si="2"/>
        <v>N</v>
      </c>
      <c r="AC42" s="287"/>
      <c r="AD42" s="288">
        <f t="shared" si="8"/>
        <v>4.9999999999999982E-11</v>
      </c>
      <c r="AE42" s="288">
        <f t="shared" si="9"/>
        <v>0</v>
      </c>
      <c r="AF42" s="288"/>
      <c r="AG42" s="631" t="s">
        <v>36</v>
      </c>
      <c r="AH42" s="298" t="e">
        <f>#REF!</f>
        <v>#REF!</v>
      </c>
      <c r="AI42" s="298"/>
      <c r="AJ42" s="298"/>
      <c r="AK42" s="298"/>
      <c r="AL42" s="298"/>
      <c r="AM42" s="298"/>
      <c r="AN42" s="279">
        <f>IF([1]APPLICATION!Z39&gt;3000,0.2,0)</f>
        <v>0</v>
      </c>
      <c r="AO42" s="631">
        <f t="shared" si="21"/>
        <v>0</v>
      </c>
      <c r="AP42" s="631">
        <f t="shared" si="10"/>
        <v>0</v>
      </c>
      <c r="AT42" s="631">
        <f t="shared" si="11"/>
        <v>1</v>
      </c>
      <c r="AU42" s="631">
        <f t="shared" si="3"/>
        <v>0</v>
      </c>
      <c r="BC42" s="291">
        <f t="shared" si="4"/>
        <v>0</v>
      </c>
      <c r="BD42" s="292"/>
      <c r="BE42" s="292"/>
      <c r="BF42" s="292"/>
      <c r="BG42" s="292"/>
      <c r="BH42" s="292"/>
      <c r="BI42" s="292"/>
      <c r="BJ42" s="292"/>
      <c r="BK42" s="292"/>
      <c r="BL42" s="292"/>
      <c r="BM42" s="292"/>
      <c r="BN42" s="292"/>
      <c r="BO42" s="292"/>
      <c r="BP42" s="292"/>
      <c r="BU42" s="633">
        <f t="shared" si="12"/>
        <v>0</v>
      </c>
      <c r="EA42" s="633">
        <f t="shared" si="13"/>
        <v>-0.5</v>
      </c>
      <c r="EB42" s="633">
        <f t="shared" si="14"/>
        <v>0.25</v>
      </c>
      <c r="EC42" s="633">
        <f t="shared" si="15"/>
        <v>-0.25</v>
      </c>
      <c r="ED42" s="633">
        <f t="shared" si="22"/>
        <v>0</v>
      </c>
      <c r="EF42" s="702">
        <f>[1]APPLICATION!Z39</f>
        <v>2499</v>
      </c>
      <c r="EG42" s="633">
        <f t="shared" si="16"/>
        <v>1</v>
      </c>
      <c r="EH42" s="633">
        <f t="shared" si="5"/>
        <v>0</v>
      </c>
      <c r="EK42" s="633">
        <f t="shared" si="17"/>
        <v>1</v>
      </c>
      <c r="EN42" s="633">
        <f t="shared" si="18"/>
        <v>0</v>
      </c>
      <c r="EO42" s="633">
        <f t="shared" si="19"/>
        <v>0</v>
      </c>
      <c r="EP42" s="633">
        <f t="shared" si="20"/>
        <v>0</v>
      </c>
      <c r="EQ42" s="633"/>
      <c r="ER42" s="633"/>
      <c r="ES42" s="633"/>
      <c r="ET42" s="633"/>
      <c r="EU42" s="633"/>
      <c r="EV42" s="633"/>
      <c r="EW42" s="633"/>
    </row>
    <row r="43" spans="1:153" ht="15.75" customHeight="1">
      <c r="A43" s="283">
        <f t="shared" si="0"/>
        <v>0</v>
      </c>
      <c r="B43" s="284">
        <v>20</v>
      </c>
      <c r="C43" s="403">
        <f>EQUIPEMENTS!C43</f>
        <v>0</v>
      </c>
      <c r="D43" s="1048" t="str">
        <f>EQUIPEMENTS!D43</f>
        <v xml:space="preserve"> </v>
      </c>
      <c r="E43" s="1049"/>
      <c r="F43" s="1050"/>
      <c r="G43" s="1051" t="str">
        <f>EQUIPEMENTS!G43</f>
        <v xml:space="preserve"> </v>
      </c>
      <c r="H43" s="1052"/>
      <c r="I43" s="1053"/>
      <c r="J43" s="1054" t="str">
        <f>EQUIPEMENTS!J43</f>
        <v xml:space="preserve"> </v>
      </c>
      <c r="K43" s="1052"/>
      <c r="L43" s="1053"/>
      <c r="M43" s="1055" t="str">
        <f>EQUIPEMENTS!M43</f>
        <v xml:space="preserve"> </v>
      </c>
      <c r="N43" s="1056"/>
      <c r="O43" s="1057"/>
      <c r="P43" s="1058">
        <f>[2]EQUIPEMENTS!P43</f>
        <v>9.9999999999999995E-8</v>
      </c>
      <c r="Q43" s="1059"/>
      <c r="R43" s="1060">
        <f>[2]EQUIPEMENTS!R43</f>
        <v>1500</v>
      </c>
      <c r="S43" s="1061"/>
      <c r="T43" s="285">
        <f t="shared" si="6"/>
        <v>0</v>
      </c>
      <c r="U43" s="698" t="str">
        <f>EQUIPEMENTS!U43</f>
        <v>N</v>
      </c>
      <c r="V43" s="698" t="str">
        <f>EQUIPEMENTS!V43</f>
        <v>N</v>
      </c>
      <c r="W43" s="485" t="str">
        <f>EQUIPEMENTS!W43</f>
        <v>O</v>
      </c>
      <c r="X43" s="698" t="str">
        <f>EQUIPEMENTS!X43</f>
        <v>O</v>
      </c>
      <c r="Y43" s="699">
        <f>EQUIPEMENTS!Y43</f>
        <v>4.9999999999999982E-11</v>
      </c>
      <c r="Z43" s="700">
        <f t="shared" si="7"/>
        <v>4.9999999999999982E-2</v>
      </c>
      <c r="AA43" s="701" t="str">
        <f t="shared" si="2"/>
        <v>N</v>
      </c>
      <c r="AC43" s="287"/>
      <c r="AD43" s="288">
        <f t="shared" si="8"/>
        <v>4.9999999999999982E-11</v>
      </c>
      <c r="AE43" s="288">
        <f t="shared" si="9"/>
        <v>0</v>
      </c>
      <c r="AF43" s="288"/>
      <c r="AG43" s="631" t="s">
        <v>173</v>
      </c>
      <c r="AH43" s="632">
        <f>Z17</f>
        <v>0</v>
      </c>
      <c r="AN43" s="279">
        <f>IF([1]APPLICATION!Z40&gt;3000,0.2,0)</f>
        <v>0</v>
      </c>
      <c r="AO43" s="631">
        <f t="shared" si="21"/>
        <v>0</v>
      </c>
      <c r="AP43" s="631">
        <f t="shared" si="10"/>
        <v>0</v>
      </c>
      <c r="AT43" s="631">
        <f t="shared" si="11"/>
        <v>1</v>
      </c>
      <c r="AU43" s="631">
        <f t="shared" si="3"/>
        <v>0</v>
      </c>
      <c r="BC43" s="291">
        <f t="shared" si="4"/>
        <v>0</v>
      </c>
      <c r="BD43" s="292"/>
      <c r="BE43" s="292"/>
      <c r="BF43" s="292"/>
      <c r="BG43" s="292"/>
      <c r="BH43" s="292"/>
      <c r="BI43" s="292"/>
      <c r="BJ43" s="292"/>
      <c r="BK43" s="292"/>
      <c r="BL43" s="292"/>
      <c r="BM43" s="292"/>
      <c r="BN43" s="292"/>
      <c r="BO43" s="292"/>
      <c r="BP43" s="292"/>
      <c r="BU43" s="633">
        <f t="shared" si="12"/>
        <v>0</v>
      </c>
      <c r="EA43" s="633">
        <f t="shared" si="13"/>
        <v>-0.5</v>
      </c>
      <c r="EB43" s="633">
        <f t="shared" si="14"/>
        <v>0.25</v>
      </c>
      <c r="EC43" s="633">
        <f t="shared" si="15"/>
        <v>-0.25</v>
      </c>
      <c r="ED43" s="633">
        <f t="shared" si="22"/>
        <v>0</v>
      </c>
      <c r="EF43" s="702">
        <f>[1]APPLICATION!Z40</f>
        <v>2499</v>
      </c>
      <c r="EG43" s="633">
        <f t="shared" si="16"/>
        <v>1</v>
      </c>
      <c r="EH43" s="633">
        <f t="shared" si="5"/>
        <v>0</v>
      </c>
      <c r="EK43" s="633">
        <f t="shared" si="17"/>
        <v>1</v>
      </c>
      <c r="EN43" s="633">
        <f t="shared" si="18"/>
        <v>0</v>
      </c>
      <c r="EO43" s="633">
        <f t="shared" si="19"/>
        <v>0</v>
      </c>
      <c r="EP43" s="633">
        <f t="shared" si="20"/>
        <v>0</v>
      </c>
      <c r="EQ43" s="633"/>
      <c r="ER43" s="633"/>
      <c r="ES43" s="633"/>
      <c r="ET43" s="633"/>
      <c r="EU43" s="633"/>
      <c r="EV43" s="633"/>
      <c r="EW43" s="633"/>
    </row>
    <row r="44" spans="1:153" ht="15.75" customHeight="1">
      <c r="A44" s="283">
        <f t="shared" si="0"/>
        <v>0</v>
      </c>
      <c r="B44" s="284">
        <v>21</v>
      </c>
      <c r="C44" s="403">
        <f>EQUIPEMENTS!C44</f>
        <v>0</v>
      </c>
      <c r="D44" s="1048" t="str">
        <f>EQUIPEMENTS!D44</f>
        <v xml:space="preserve"> </v>
      </c>
      <c r="E44" s="1049"/>
      <c r="F44" s="1050"/>
      <c r="G44" s="1051" t="str">
        <f>EQUIPEMENTS!G44</f>
        <v xml:space="preserve"> </v>
      </c>
      <c r="H44" s="1052"/>
      <c r="I44" s="1053"/>
      <c r="J44" s="1054" t="str">
        <f>EQUIPEMENTS!J44</f>
        <v xml:space="preserve"> </v>
      </c>
      <c r="K44" s="1052"/>
      <c r="L44" s="1053"/>
      <c r="M44" s="1055" t="str">
        <f>EQUIPEMENTS!M44</f>
        <v xml:space="preserve"> </v>
      </c>
      <c r="N44" s="1056"/>
      <c r="O44" s="1057"/>
      <c r="P44" s="1058">
        <f>[2]EQUIPEMENTS!P44</f>
        <v>9.9999999999999995E-8</v>
      </c>
      <c r="Q44" s="1059"/>
      <c r="R44" s="1060">
        <f>[2]EQUIPEMENTS!R44</f>
        <v>1500</v>
      </c>
      <c r="S44" s="1061"/>
      <c r="T44" s="285">
        <f t="shared" si="6"/>
        <v>0</v>
      </c>
      <c r="U44" s="698" t="str">
        <f>EQUIPEMENTS!U44</f>
        <v>N</v>
      </c>
      <c r="V44" s="698" t="str">
        <f>EQUIPEMENTS!V44</f>
        <v>N</v>
      </c>
      <c r="W44" s="485" t="str">
        <f>EQUIPEMENTS!W44</f>
        <v>O</v>
      </c>
      <c r="X44" s="698" t="str">
        <f>EQUIPEMENTS!X44</f>
        <v>O</v>
      </c>
      <c r="Y44" s="699">
        <f>EQUIPEMENTS!Y44</f>
        <v>4.9999999999999982E-11</v>
      </c>
      <c r="Z44" s="700">
        <f t="shared" si="7"/>
        <v>4.9999999999999982E-2</v>
      </c>
      <c r="AA44" s="701" t="str">
        <f t="shared" si="2"/>
        <v>N</v>
      </c>
      <c r="AC44" s="287"/>
      <c r="AD44" s="288">
        <f t="shared" si="8"/>
        <v>4.9999999999999982E-11</v>
      </c>
      <c r="AE44" s="288">
        <f t="shared" si="9"/>
        <v>0</v>
      </c>
      <c r="AF44" s="288"/>
      <c r="AG44" s="631" t="s">
        <v>176</v>
      </c>
      <c r="AH44" s="296" t="e">
        <f>#REF!+#REF!</f>
        <v>#REF!</v>
      </c>
      <c r="AI44" s="296"/>
      <c r="AJ44" s="296"/>
      <c r="AK44" s="296"/>
      <c r="AL44" s="296"/>
      <c r="AM44" s="296"/>
      <c r="AN44" s="279">
        <f>IF([1]APPLICATION!Z41&gt;3000,0.2,0)</f>
        <v>0</v>
      </c>
      <c r="AO44" s="631">
        <f t="shared" si="21"/>
        <v>0</v>
      </c>
      <c r="AP44" s="631">
        <f t="shared" si="10"/>
        <v>0</v>
      </c>
      <c r="AT44" s="631">
        <f t="shared" si="11"/>
        <v>1</v>
      </c>
      <c r="AU44" s="631">
        <f t="shared" si="3"/>
        <v>0</v>
      </c>
      <c r="BC44" s="291">
        <f t="shared" si="4"/>
        <v>0</v>
      </c>
      <c r="BD44" s="292"/>
      <c r="BE44" s="292"/>
      <c r="BF44" s="292"/>
      <c r="BG44" s="292"/>
      <c r="BH44" s="292"/>
      <c r="BI44" s="292"/>
      <c r="BJ44" s="292"/>
      <c r="BK44" s="292"/>
      <c r="BL44" s="292"/>
      <c r="BM44" s="292"/>
      <c r="BN44" s="292"/>
      <c r="BO44" s="292"/>
      <c r="BP44" s="292"/>
      <c r="BU44" s="633">
        <f t="shared" si="12"/>
        <v>0</v>
      </c>
      <c r="EA44" s="633">
        <f t="shared" si="13"/>
        <v>-0.5</v>
      </c>
      <c r="EB44" s="633">
        <f t="shared" si="14"/>
        <v>0.25</v>
      </c>
      <c r="EC44" s="633">
        <f t="shared" si="15"/>
        <v>-0.25</v>
      </c>
      <c r="ED44" s="633">
        <f t="shared" si="22"/>
        <v>0</v>
      </c>
      <c r="EF44" s="702">
        <f>[1]APPLICATION!Z41</f>
        <v>2499</v>
      </c>
      <c r="EG44" s="633">
        <f t="shared" si="16"/>
        <v>1</v>
      </c>
      <c r="EH44" s="633">
        <f t="shared" si="5"/>
        <v>0</v>
      </c>
      <c r="EK44" s="633">
        <f t="shared" si="17"/>
        <v>1</v>
      </c>
      <c r="EN44" s="633">
        <f t="shared" si="18"/>
        <v>0</v>
      </c>
      <c r="EO44" s="633">
        <f t="shared" si="19"/>
        <v>0</v>
      </c>
      <c r="EP44" s="633">
        <f t="shared" si="20"/>
        <v>0</v>
      </c>
      <c r="EQ44" s="633"/>
      <c r="ER44" s="633"/>
      <c r="ES44" s="633"/>
      <c r="ET44" s="633"/>
      <c r="EU44" s="633"/>
      <c r="EV44" s="633"/>
      <c r="EW44" s="633"/>
    </row>
    <row r="45" spans="1:153" ht="15.75" customHeight="1">
      <c r="A45" s="283">
        <f t="shared" si="0"/>
        <v>0</v>
      </c>
      <c r="B45" s="284">
        <v>22</v>
      </c>
      <c r="C45" s="403">
        <f>EQUIPEMENTS!C45</f>
        <v>0</v>
      </c>
      <c r="D45" s="1048" t="str">
        <f>EQUIPEMENTS!D45</f>
        <v xml:space="preserve"> </v>
      </c>
      <c r="E45" s="1049"/>
      <c r="F45" s="1050"/>
      <c r="G45" s="1051" t="str">
        <f>EQUIPEMENTS!G45</f>
        <v xml:space="preserve"> </v>
      </c>
      <c r="H45" s="1052"/>
      <c r="I45" s="1053"/>
      <c r="J45" s="1054" t="str">
        <f>EQUIPEMENTS!J45</f>
        <v xml:space="preserve"> </v>
      </c>
      <c r="K45" s="1052"/>
      <c r="L45" s="1053"/>
      <c r="M45" s="1055" t="str">
        <f>EQUIPEMENTS!M45</f>
        <v xml:space="preserve"> </v>
      </c>
      <c r="N45" s="1056"/>
      <c r="O45" s="1057"/>
      <c r="P45" s="1058">
        <f>[2]EQUIPEMENTS!P45</f>
        <v>9.9999999999999995E-8</v>
      </c>
      <c r="Q45" s="1059"/>
      <c r="R45" s="1060">
        <f>[2]EQUIPEMENTS!R45</f>
        <v>1500</v>
      </c>
      <c r="S45" s="1061"/>
      <c r="T45" s="285">
        <f t="shared" si="6"/>
        <v>0</v>
      </c>
      <c r="U45" s="698" t="str">
        <f>EQUIPEMENTS!U45</f>
        <v>N</v>
      </c>
      <c r="V45" s="698" t="str">
        <f>EQUIPEMENTS!V45</f>
        <v>N</v>
      </c>
      <c r="W45" s="485" t="str">
        <f>EQUIPEMENTS!W45</f>
        <v>O</v>
      </c>
      <c r="X45" s="698" t="str">
        <f>EQUIPEMENTS!X45</f>
        <v>O</v>
      </c>
      <c r="Y45" s="699">
        <f>EQUIPEMENTS!Y45</f>
        <v>4.9999999999999982E-11</v>
      </c>
      <c r="Z45" s="700">
        <f t="shared" si="7"/>
        <v>4.9999999999999982E-2</v>
      </c>
      <c r="AA45" s="701" t="str">
        <f t="shared" si="2"/>
        <v>N</v>
      </c>
      <c r="AC45" s="287"/>
      <c r="AD45" s="288">
        <f t="shared" si="8"/>
        <v>4.9999999999999982E-11</v>
      </c>
      <c r="AE45" s="288">
        <f t="shared" si="9"/>
        <v>0</v>
      </c>
      <c r="AF45" s="288"/>
      <c r="AG45" s="631" t="s">
        <v>177</v>
      </c>
      <c r="AH45" s="296" t="e">
        <f>#REF!+#REF!</f>
        <v>#REF!</v>
      </c>
      <c r="AI45" s="296"/>
      <c r="AJ45" s="296"/>
      <c r="AK45" s="296"/>
      <c r="AL45" s="296"/>
      <c r="AM45" s="296"/>
      <c r="AN45" s="279">
        <f>IF([1]APPLICATION!Z42&gt;3000,0.2,0)</f>
        <v>0</v>
      </c>
      <c r="AO45" s="631">
        <f t="shared" si="21"/>
        <v>0</v>
      </c>
      <c r="AP45" s="631">
        <f t="shared" si="10"/>
        <v>0</v>
      </c>
      <c r="AT45" s="631">
        <f t="shared" si="11"/>
        <v>1</v>
      </c>
      <c r="AU45" s="631">
        <f t="shared" si="3"/>
        <v>0</v>
      </c>
      <c r="BC45" s="291">
        <f t="shared" si="4"/>
        <v>0</v>
      </c>
      <c r="BD45" s="292"/>
      <c r="BE45" s="292"/>
      <c r="BF45" s="292"/>
      <c r="BG45" s="292"/>
      <c r="BH45" s="292"/>
      <c r="BI45" s="292"/>
      <c r="BJ45" s="292"/>
      <c r="BK45" s="292"/>
      <c r="BL45" s="292"/>
      <c r="BM45" s="292"/>
      <c r="BN45" s="292"/>
      <c r="BO45" s="292"/>
      <c r="BP45" s="292"/>
      <c r="BU45" s="633">
        <f t="shared" si="12"/>
        <v>0</v>
      </c>
      <c r="EA45" s="633">
        <f t="shared" si="13"/>
        <v>-0.5</v>
      </c>
      <c r="EB45" s="633">
        <f t="shared" si="14"/>
        <v>0.25</v>
      </c>
      <c r="EC45" s="633">
        <f t="shared" si="15"/>
        <v>-0.25</v>
      </c>
      <c r="ED45" s="633">
        <f t="shared" si="22"/>
        <v>0</v>
      </c>
      <c r="EF45" s="702">
        <f>[1]APPLICATION!Z42</f>
        <v>2499</v>
      </c>
      <c r="EG45" s="633">
        <f t="shared" si="16"/>
        <v>1</v>
      </c>
      <c r="EH45" s="633">
        <f t="shared" si="5"/>
        <v>0</v>
      </c>
      <c r="EK45" s="633">
        <f t="shared" si="17"/>
        <v>1</v>
      </c>
      <c r="EN45" s="633">
        <f t="shared" si="18"/>
        <v>0</v>
      </c>
      <c r="EO45" s="633">
        <f t="shared" si="19"/>
        <v>0</v>
      </c>
      <c r="EP45" s="633">
        <f t="shared" si="20"/>
        <v>0</v>
      </c>
      <c r="EQ45" s="633"/>
      <c r="ER45" s="633"/>
      <c r="ES45" s="633"/>
      <c r="ET45" s="633"/>
      <c r="EU45" s="633"/>
      <c r="EV45" s="633"/>
      <c r="EW45" s="633"/>
    </row>
    <row r="46" spans="1:153" ht="15.75" customHeight="1">
      <c r="A46" s="283">
        <f t="shared" si="0"/>
        <v>0</v>
      </c>
      <c r="B46" s="284">
        <v>23</v>
      </c>
      <c r="C46" s="403">
        <f>EQUIPEMENTS!C46</f>
        <v>0</v>
      </c>
      <c r="D46" s="1048" t="str">
        <f>EQUIPEMENTS!D46</f>
        <v xml:space="preserve"> </v>
      </c>
      <c r="E46" s="1049"/>
      <c r="F46" s="1050"/>
      <c r="G46" s="1051" t="str">
        <f>EQUIPEMENTS!G46</f>
        <v xml:space="preserve"> </v>
      </c>
      <c r="H46" s="1052"/>
      <c r="I46" s="1053"/>
      <c r="J46" s="1054" t="str">
        <f>EQUIPEMENTS!J46</f>
        <v xml:space="preserve"> </v>
      </c>
      <c r="K46" s="1052"/>
      <c r="L46" s="1053"/>
      <c r="M46" s="1055" t="str">
        <f>EQUIPEMENTS!M46</f>
        <v xml:space="preserve"> </v>
      </c>
      <c r="N46" s="1056"/>
      <c r="O46" s="1057"/>
      <c r="P46" s="1058">
        <f>[2]EQUIPEMENTS!P46</f>
        <v>9.9999999999999995E-8</v>
      </c>
      <c r="Q46" s="1059"/>
      <c r="R46" s="1060">
        <f>[2]EQUIPEMENTS!R46</f>
        <v>1500</v>
      </c>
      <c r="S46" s="1061"/>
      <c r="T46" s="285">
        <f t="shared" si="6"/>
        <v>0</v>
      </c>
      <c r="U46" s="698" t="str">
        <f>EQUIPEMENTS!U46</f>
        <v>N</v>
      </c>
      <c r="V46" s="698" t="str">
        <f>EQUIPEMENTS!V46</f>
        <v>N</v>
      </c>
      <c r="W46" s="485" t="str">
        <f>EQUIPEMENTS!W46</f>
        <v>O</v>
      </c>
      <c r="X46" s="698" t="str">
        <f>EQUIPEMENTS!X46</f>
        <v>O</v>
      </c>
      <c r="Y46" s="699">
        <f>EQUIPEMENTS!Y46</f>
        <v>4.9999999999999982E-11</v>
      </c>
      <c r="Z46" s="700">
        <f t="shared" si="7"/>
        <v>4.9999999999999982E-2</v>
      </c>
      <c r="AA46" s="701" t="str">
        <f t="shared" si="2"/>
        <v>N</v>
      </c>
      <c r="AC46" s="287"/>
      <c r="AD46" s="288">
        <f t="shared" si="8"/>
        <v>4.9999999999999982E-11</v>
      </c>
      <c r="AE46" s="288">
        <f t="shared" si="9"/>
        <v>0</v>
      </c>
      <c r="AF46" s="288"/>
      <c r="AG46" s="631" t="s">
        <v>178</v>
      </c>
      <c r="AH46" s="632" t="e">
        <f>(Y50+#REF!+#REF!)*#REF!/100</f>
        <v>#REF!</v>
      </c>
      <c r="AN46" s="279">
        <f>IF([1]APPLICATION!Z43&gt;3000,0.2,0)</f>
        <v>0</v>
      </c>
      <c r="AO46" s="631">
        <f t="shared" si="21"/>
        <v>0</v>
      </c>
      <c r="AP46" s="631">
        <f t="shared" si="10"/>
        <v>0</v>
      </c>
      <c r="AT46" s="631">
        <f t="shared" si="11"/>
        <v>1</v>
      </c>
      <c r="AU46" s="631">
        <f t="shared" si="3"/>
        <v>0</v>
      </c>
      <c r="BC46" s="291">
        <f t="shared" si="4"/>
        <v>0</v>
      </c>
      <c r="BD46" s="292"/>
      <c r="BE46" s="292"/>
      <c r="BF46" s="292"/>
      <c r="BG46" s="292"/>
      <c r="BH46" s="292"/>
      <c r="BI46" s="292"/>
      <c r="BJ46" s="292"/>
      <c r="BK46" s="292"/>
      <c r="BL46" s="292"/>
      <c r="BM46" s="292"/>
      <c r="BN46" s="292"/>
      <c r="BO46" s="292"/>
      <c r="BP46" s="292"/>
      <c r="BU46" s="633">
        <f t="shared" si="12"/>
        <v>0</v>
      </c>
      <c r="EA46" s="633">
        <f t="shared" si="13"/>
        <v>-0.5</v>
      </c>
      <c r="EB46" s="633">
        <f t="shared" si="14"/>
        <v>0.25</v>
      </c>
      <c r="EC46" s="633">
        <f t="shared" si="15"/>
        <v>-0.25</v>
      </c>
      <c r="ED46" s="633">
        <f t="shared" si="22"/>
        <v>0</v>
      </c>
      <c r="EF46" s="702">
        <f>[1]APPLICATION!Z43</f>
        <v>2499</v>
      </c>
      <c r="EG46" s="633">
        <f t="shared" si="16"/>
        <v>1</v>
      </c>
      <c r="EH46" s="633">
        <f t="shared" si="5"/>
        <v>0</v>
      </c>
      <c r="EK46" s="633">
        <f t="shared" si="17"/>
        <v>1</v>
      </c>
      <c r="EN46" s="633">
        <f t="shared" si="18"/>
        <v>0</v>
      </c>
      <c r="EO46" s="633">
        <f t="shared" si="19"/>
        <v>0</v>
      </c>
      <c r="EP46" s="633">
        <f t="shared" si="20"/>
        <v>0</v>
      </c>
      <c r="EQ46" s="633"/>
      <c r="ER46" s="633"/>
      <c r="ES46" s="633"/>
      <c r="ET46" s="633"/>
      <c r="EU46" s="633"/>
      <c r="EV46" s="633"/>
      <c r="EW46" s="633"/>
    </row>
    <row r="47" spans="1:153" ht="15.75" customHeight="1">
      <c r="A47" s="283">
        <f t="shared" si="0"/>
        <v>0</v>
      </c>
      <c r="B47" s="284">
        <v>24</v>
      </c>
      <c r="C47" s="403">
        <f>EQUIPEMENTS!C47</f>
        <v>0</v>
      </c>
      <c r="D47" s="1048" t="str">
        <f>EQUIPEMENTS!D47</f>
        <v xml:space="preserve"> </v>
      </c>
      <c r="E47" s="1049"/>
      <c r="F47" s="1050"/>
      <c r="G47" s="1051" t="str">
        <f>EQUIPEMENTS!G47</f>
        <v xml:space="preserve"> </v>
      </c>
      <c r="H47" s="1052"/>
      <c r="I47" s="1053"/>
      <c r="J47" s="1054" t="str">
        <f>EQUIPEMENTS!J47</f>
        <v xml:space="preserve"> </v>
      </c>
      <c r="K47" s="1052"/>
      <c r="L47" s="1053"/>
      <c r="M47" s="1055" t="str">
        <f>EQUIPEMENTS!M47</f>
        <v xml:space="preserve"> </v>
      </c>
      <c r="N47" s="1056"/>
      <c r="O47" s="1057"/>
      <c r="P47" s="1058">
        <f>[2]EQUIPEMENTS!P47</f>
        <v>9.9999999999999995E-8</v>
      </c>
      <c r="Q47" s="1059"/>
      <c r="R47" s="1060">
        <f>[2]EQUIPEMENTS!R47</f>
        <v>1500</v>
      </c>
      <c r="S47" s="1061"/>
      <c r="T47" s="285">
        <f t="shared" si="6"/>
        <v>0</v>
      </c>
      <c r="U47" s="698" t="str">
        <f>EQUIPEMENTS!U47</f>
        <v>N</v>
      </c>
      <c r="V47" s="698" t="str">
        <f>EQUIPEMENTS!V47</f>
        <v>N</v>
      </c>
      <c r="W47" s="485" t="str">
        <f>EQUIPEMENTS!W47</f>
        <v>O</v>
      </c>
      <c r="X47" s="698" t="str">
        <f>EQUIPEMENTS!X47</f>
        <v>O</v>
      </c>
      <c r="Y47" s="699">
        <f>EQUIPEMENTS!Y47</f>
        <v>4.9999999999999982E-11</v>
      </c>
      <c r="Z47" s="700">
        <f t="shared" si="7"/>
        <v>4.9999999999999982E-2</v>
      </c>
      <c r="AA47" s="701" t="str">
        <f t="shared" si="2"/>
        <v>N</v>
      </c>
      <c r="AC47" s="287"/>
      <c r="AD47" s="288">
        <f t="shared" si="8"/>
        <v>4.9999999999999982E-11</v>
      </c>
      <c r="AE47" s="288">
        <f t="shared" si="9"/>
        <v>0</v>
      </c>
      <c r="AF47" s="288"/>
      <c r="AG47" s="631" t="s">
        <v>179</v>
      </c>
      <c r="AH47" s="632" t="e">
        <f>(#REF!*0.125+#REF!*0.075)</f>
        <v>#REF!</v>
      </c>
      <c r="AN47" s="279">
        <f>IF([1]APPLICATION!Z44&gt;3000,0.2,0)</f>
        <v>0</v>
      </c>
      <c r="AO47" s="631">
        <f t="shared" si="21"/>
        <v>0</v>
      </c>
      <c r="AP47" s="631">
        <f t="shared" si="10"/>
        <v>0</v>
      </c>
      <c r="AT47" s="631">
        <f t="shared" si="11"/>
        <v>1</v>
      </c>
      <c r="AU47" s="631">
        <f t="shared" si="3"/>
        <v>0</v>
      </c>
      <c r="BC47" s="291">
        <f t="shared" si="4"/>
        <v>0</v>
      </c>
      <c r="BD47" s="292"/>
      <c r="BE47" s="292"/>
      <c r="BF47" s="292"/>
      <c r="BG47" s="292"/>
      <c r="BH47" s="292"/>
      <c r="BI47" s="292"/>
      <c r="BJ47" s="292"/>
      <c r="BK47" s="292"/>
      <c r="BL47" s="292"/>
      <c r="BM47" s="292"/>
      <c r="BN47" s="292"/>
      <c r="BO47" s="292"/>
      <c r="BP47" s="292"/>
      <c r="BU47" s="633">
        <f t="shared" si="12"/>
        <v>0</v>
      </c>
      <c r="EA47" s="633">
        <f t="shared" si="13"/>
        <v>-0.5</v>
      </c>
      <c r="EB47" s="633">
        <f t="shared" si="14"/>
        <v>0.25</v>
      </c>
      <c r="EC47" s="633">
        <f t="shared" si="15"/>
        <v>-0.25</v>
      </c>
      <c r="ED47" s="633">
        <f t="shared" si="22"/>
        <v>0</v>
      </c>
      <c r="EF47" s="702">
        <f>[1]APPLICATION!Z44</f>
        <v>2499</v>
      </c>
      <c r="EG47" s="633">
        <f t="shared" si="16"/>
        <v>1</v>
      </c>
      <c r="EH47" s="633">
        <f t="shared" si="5"/>
        <v>0</v>
      </c>
      <c r="EK47" s="633">
        <f t="shared" si="17"/>
        <v>1</v>
      </c>
      <c r="EN47" s="633">
        <f t="shared" si="18"/>
        <v>0</v>
      </c>
      <c r="EO47" s="633">
        <f t="shared" si="19"/>
        <v>0</v>
      </c>
      <c r="EP47" s="633">
        <f t="shared" si="20"/>
        <v>0</v>
      </c>
      <c r="EQ47" s="633"/>
      <c r="ER47" s="633"/>
      <c r="ES47" s="633"/>
      <c r="ET47" s="633"/>
      <c r="EU47" s="633"/>
      <c r="EV47" s="633"/>
      <c r="EW47" s="633"/>
    </row>
    <row r="48" spans="1:153" ht="15.75" customHeight="1">
      <c r="A48" s="283">
        <f t="shared" si="0"/>
        <v>0</v>
      </c>
      <c r="B48" s="284">
        <v>25</v>
      </c>
      <c r="C48" s="403">
        <f>EQUIPEMENTS!C48</f>
        <v>0</v>
      </c>
      <c r="D48" s="1048" t="str">
        <f>EQUIPEMENTS!D48</f>
        <v xml:space="preserve"> </v>
      </c>
      <c r="E48" s="1049"/>
      <c r="F48" s="1050"/>
      <c r="G48" s="1051" t="str">
        <f>EQUIPEMENTS!G48</f>
        <v xml:space="preserve"> </v>
      </c>
      <c r="H48" s="1052"/>
      <c r="I48" s="1053"/>
      <c r="J48" s="1054" t="str">
        <f>EQUIPEMENTS!J48</f>
        <v xml:space="preserve"> </v>
      </c>
      <c r="K48" s="1052"/>
      <c r="L48" s="1053"/>
      <c r="M48" s="1055" t="str">
        <f>EQUIPEMENTS!M48</f>
        <v xml:space="preserve"> </v>
      </c>
      <c r="N48" s="1056"/>
      <c r="O48" s="1057"/>
      <c r="P48" s="1058">
        <f>[2]EQUIPEMENTS!P48</f>
        <v>9.9999999999999995E-8</v>
      </c>
      <c r="Q48" s="1059"/>
      <c r="R48" s="1060">
        <f>[2]EQUIPEMENTS!R48</f>
        <v>1500</v>
      </c>
      <c r="S48" s="1061"/>
      <c r="T48" s="285">
        <f t="shared" si="6"/>
        <v>0</v>
      </c>
      <c r="U48" s="698" t="str">
        <f>EQUIPEMENTS!U48</f>
        <v>N</v>
      </c>
      <c r="V48" s="698" t="str">
        <f>EQUIPEMENTS!V48</f>
        <v>N</v>
      </c>
      <c r="W48" s="485" t="str">
        <f>EQUIPEMENTS!W48</f>
        <v>O</v>
      </c>
      <c r="X48" s="698" t="str">
        <f>EQUIPEMENTS!X48</f>
        <v>O</v>
      </c>
      <c r="Y48" s="699">
        <f>EQUIPEMENTS!Y48</f>
        <v>4.9999999999999982E-11</v>
      </c>
      <c r="Z48" s="700">
        <f t="shared" si="7"/>
        <v>4.9999999999999982E-2</v>
      </c>
      <c r="AA48" s="701" t="str">
        <f t="shared" si="2"/>
        <v>N</v>
      </c>
      <c r="AC48" s="287"/>
      <c r="AD48" s="288">
        <f t="shared" si="8"/>
        <v>4.9999999999999982E-11</v>
      </c>
      <c r="AE48" s="288">
        <f t="shared" si="9"/>
        <v>0</v>
      </c>
      <c r="AF48" s="288"/>
      <c r="AN48" s="279">
        <f>IF([1]APPLICATION!Z45&gt;3000,0.2,0)</f>
        <v>0</v>
      </c>
      <c r="AO48" s="631">
        <f t="shared" si="21"/>
        <v>0</v>
      </c>
      <c r="AT48" s="631">
        <f t="shared" si="11"/>
        <v>1</v>
      </c>
      <c r="AU48" s="631">
        <f t="shared" si="3"/>
        <v>0</v>
      </c>
      <c r="BC48" s="291">
        <f t="shared" si="4"/>
        <v>0</v>
      </c>
      <c r="BD48" s="292"/>
      <c r="BE48" s="292"/>
      <c r="BF48" s="292"/>
      <c r="BG48" s="292"/>
      <c r="BH48" s="292"/>
      <c r="BI48" s="292"/>
      <c r="BJ48" s="292"/>
      <c r="BK48" s="292"/>
      <c r="BL48" s="292"/>
      <c r="BM48" s="292"/>
      <c r="BN48" s="292"/>
      <c r="BO48" s="292"/>
      <c r="BP48" s="292"/>
      <c r="BU48" s="633">
        <f t="shared" si="12"/>
        <v>0</v>
      </c>
      <c r="EA48" s="633">
        <f t="shared" si="13"/>
        <v>-0.5</v>
      </c>
      <c r="EB48" s="633">
        <f t="shared" si="14"/>
        <v>0.25</v>
      </c>
      <c r="EC48" s="633">
        <f t="shared" si="15"/>
        <v>-0.25</v>
      </c>
      <c r="ED48" s="633">
        <f t="shared" si="22"/>
        <v>0</v>
      </c>
      <c r="EF48" s="702">
        <f>[1]APPLICATION!Z45</f>
        <v>2499</v>
      </c>
      <c r="EG48" s="633">
        <f t="shared" si="16"/>
        <v>1</v>
      </c>
      <c r="EH48" s="633">
        <f t="shared" si="5"/>
        <v>0</v>
      </c>
      <c r="EK48" s="633">
        <f t="shared" si="17"/>
        <v>1</v>
      </c>
      <c r="EN48" s="633">
        <f t="shared" si="18"/>
        <v>0</v>
      </c>
      <c r="EO48" s="633">
        <f t="shared" si="19"/>
        <v>0</v>
      </c>
      <c r="EP48" s="633">
        <f t="shared" si="20"/>
        <v>0</v>
      </c>
      <c r="EQ48" s="633"/>
      <c r="ER48" s="633"/>
      <c r="ES48" s="633"/>
      <c r="ET48" s="633"/>
      <c r="EU48" s="633"/>
      <c r="EV48" s="633"/>
      <c r="EW48" s="633"/>
    </row>
    <row r="49" spans="1:153" s="635" customFormat="1" ht="17.25" customHeight="1" thickBot="1">
      <c r="A49" s="283">
        <f>SUM(A24:A48)</f>
        <v>0</v>
      </c>
      <c r="B49" s="281"/>
      <c r="D49" s="299"/>
      <c r="E49" s="299"/>
      <c r="F49" s="299"/>
      <c r="G49" s="299"/>
      <c r="H49" s="299"/>
      <c r="I49" s="299"/>
      <c r="J49" s="299"/>
      <c r="K49" s="299"/>
      <c r="L49" s="299"/>
      <c r="M49" s="299"/>
      <c r="N49" s="299"/>
      <c r="O49" s="299"/>
      <c r="P49" s="299"/>
      <c r="Q49" s="299"/>
      <c r="R49" s="299"/>
      <c r="S49" s="299"/>
      <c r="U49" s="299"/>
      <c r="W49" s="299"/>
      <c r="Y49" s="287"/>
      <c r="Z49" s="287"/>
      <c r="AA49" s="300">
        <f>SUM(AA24:AA48)</f>
        <v>0</v>
      </c>
      <c r="AB49" s="629"/>
      <c r="AC49" s="630"/>
      <c r="AD49" s="287">
        <f>SUM(AP24:AP47)</f>
        <v>0</v>
      </c>
      <c r="AE49" s="287"/>
      <c r="AF49" s="287"/>
      <c r="AG49" s="631"/>
      <c r="AH49" s="632"/>
      <c r="AI49" s="632"/>
      <c r="AJ49" s="632"/>
      <c r="AK49" s="632"/>
      <c r="AL49" s="632"/>
      <c r="AM49" s="632"/>
      <c r="AN49" s="279">
        <f>IF(PROPOSITION!Z46&gt;3000,0.2,0)</f>
        <v>0</v>
      </c>
      <c r="AO49" s="631">
        <f>SUM(AO24:AO48)</f>
        <v>0</v>
      </c>
      <c r="AP49" s="631"/>
      <c r="AQ49" s="631"/>
      <c r="AR49" s="631"/>
      <c r="AS49" s="631"/>
      <c r="AT49" s="631"/>
      <c r="AU49" s="631"/>
      <c r="AV49" s="631"/>
      <c r="AW49" s="631"/>
      <c r="AX49" s="631"/>
      <c r="AY49" s="631"/>
      <c r="AZ49" s="631"/>
      <c r="BA49" s="631"/>
      <c r="BB49" s="631"/>
      <c r="BC49" s="631"/>
      <c r="BD49" s="633"/>
      <c r="BE49" s="633"/>
      <c r="BF49" s="633"/>
      <c r="BG49" s="633"/>
      <c r="BH49" s="633"/>
      <c r="BI49" s="633"/>
      <c r="BJ49" s="633"/>
      <c r="BK49" s="633"/>
      <c r="BL49" s="633"/>
      <c r="BM49" s="633"/>
      <c r="BN49" s="633"/>
      <c r="BO49" s="633"/>
      <c r="BP49" s="633"/>
      <c r="BQ49" s="633"/>
      <c r="BR49" s="633"/>
      <c r="BS49" s="633"/>
      <c r="BT49" s="633"/>
      <c r="BU49" s="251">
        <f t="shared" si="12"/>
        <v>0</v>
      </c>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f>IF(C49=2005,-5,0)</f>
        <v>0</v>
      </c>
      <c r="EP49" s="251"/>
      <c r="EQ49" s="251"/>
      <c r="ER49" s="251"/>
      <c r="ES49" s="251"/>
      <c r="ET49" s="251"/>
      <c r="EU49" s="251"/>
      <c r="EV49" s="251"/>
      <c r="EW49" s="251"/>
    </row>
    <row r="50" spans="1:153" s="635" customFormat="1" ht="15.75" customHeight="1" thickBot="1">
      <c r="A50" s="283"/>
      <c r="C50" s="1033" t="s">
        <v>449</v>
      </c>
      <c r="D50" s="1034"/>
      <c r="E50" s="1034"/>
      <c r="F50" s="1034"/>
      <c r="G50" s="1034"/>
      <c r="H50" s="1034"/>
      <c r="I50" s="1034"/>
      <c r="J50" s="1035">
        <f>EQUIPEMENTS!J50</f>
        <v>0.05</v>
      </c>
      <c r="K50" s="1036"/>
      <c r="L50" s="1037"/>
      <c r="M50" s="1034" t="s">
        <v>37</v>
      </c>
      <c r="N50" s="1034"/>
      <c r="O50" s="1038"/>
      <c r="P50" s="1039">
        <f>EQUIPEMENTS!P50</f>
        <v>2.4999999999999985E-6</v>
      </c>
      <c r="Q50" s="1040"/>
      <c r="R50" s="1041" t="s">
        <v>450</v>
      </c>
      <c r="S50" s="1034"/>
      <c r="T50" s="1034"/>
      <c r="U50" s="1034"/>
      <c r="V50" s="1034"/>
      <c r="W50" s="1034"/>
      <c r="Y50" s="287"/>
      <c r="Z50" s="287"/>
      <c r="AB50" s="629"/>
      <c r="AC50" s="630"/>
      <c r="AD50" s="301">
        <f>SUM(AD24:AD48)</f>
        <v>1.2500000000000002E-9</v>
      </c>
      <c r="AE50" s="301">
        <f>SUM(AE24:AE49)</f>
        <v>0</v>
      </c>
      <c r="AF50" s="301"/>
      <c r="AG50" s="631"/>
      <c r="AH50" s="632"/>
      <c r="AI50" s="632"/>
      <c r="AJ50" s="632"/>
      <c r="AK50" s="632"/>
      <c r="AL50" s="632"/>
      <c r="AM50" s="632"/>
      <c r="AN50" s="631"/>
      <c r="AO50" s="631"/>
      <c r="AP50" s="631"/>
      <c r="AQ50" s="631"/>
      <c r="AR50" s="631"/>
      <c r="AS50" s="631"/>
      <c r="AT50" s="631"/>
      <c r="AU50" s="631"/>
      <c r="AV50" s="631"/>
      <c r="AW50" s="631"/>
      <c r="AX50" s="631"/>
      <c r="AY50" s="631"/>
      <c r="AZ50" s="631"/>
      <c r="BA50" s="631"/>
      <c r="BB50" s="631"/>
      <c r="BC50" s="291">
        <f>SUM(BC24:BC49)</f>
        <v>0</v>
      </c>
      <c r="BD50" s="292"/>
      <c r="BE50" s="292"/>
      <c r="BF50" s="292"/>
      <c r="BG50" s="292"/>
      <c r="BH50" s="292"/>
      <c r="BI50" s="292"/>
      <c r="BJ50" s="292"/>
      <c r="BK50" s="292"/>
      <c r="BL50" s="292"/>
      <c r="BM50" s="292"/>
      <c r="BN50" s="292"/>
      <c r="BO50" s="292"/>
      <c r="BP50" s="292"/>
      <c r="BQ50" s="633"/>
      <c r="BR50" s="633"/>
      <c r="BS50" s="633"/>
      <c r="BT50" s="633"/>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row>
    <row r="51" spans="1:153" ht="13.5" customHeight="1" thickBot="1">
      <c r="Y51" s="287"/>
      <c r="Z51" s="287"/>
      <c r="BU51" s="251">
        <f>SUM(BU24:BU50)</f>
        <v>0</v>
      </c>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row>
    <row r="52" spans="1:153" ht="15.75" customHeight="1" thickBot="1">
      <c r="B52" s="1042" t="s">
        <v>583</v>
      </c>
      <c r="C52" s="1043"/>
      <c r="D52" s="1043"/>
      <c r="E52" s="1043"/>
      <c r="F52" s="1043"/>
      <c r="G52" s="1043"/>
      <c r="H52" s="1043"/>
      <c r="I52" s="1043"/>
      <c r="J52" s="1043"/>
      <c r="K52" s="1043"/>
      <c r="L52" s="1043"/>
      <c r="M52" s="1043"/>
      <c r="N52" s="1043"/>
      <c r="O52" s="1043"/>
      <c r="P52" s="1043"/>
      <c r="Q52" s="1044"/>
      <c r="R52" s="943">
        <f>AC260</f>
        <v>0</v>
      </c>
      <c r="S52" s="943"/>
      <c r="U52" s="1045">
        <f>EQUIPEMENTS!Y50</f>
        <v>1.2500000000000002E-9</v>
      </c>
      <c r="V52" s="1046"/>
      <c r="W52" s="1046"/>
      <c r="X52" s="1047"/>
      <c r="Y52" s="287"/>
      <c r="Z52" s="287"/>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row>
    <row r="53" spans="1:153" ht="15.75" customHeight="1">
      <c r="B53" s="944" t="s">
        <v>584</v>
      </c>
      <c r="C53" s="945"/>
      <c r="D53" s="945"/>
      <c r="E53" s="945"/>
      <c r="F53" s="945"/>
      <c r="G53" s="945"/>
      <c r="H53" s="945"/>
      <c r="I53" s="945"/>
      <c r="J53" s="945"/>
      <c r="K53" s="945"/>
      <c r="L53" s="945"/>
      <c r="M53" s="945"/>
      <c r="N53" s="945"/>
      <c r="O53" s="945"/>
      <c r="P53" s="946">
        <f>EQUIPEMENTS!P53</f>
        <v>0</v>
      </c>
      <c r="Q53" s="947"/>
      <c r="R53" s="948" t="s">
        <v>2</v>
      </c>
      <c r="S53" s="948"/>
      <c r="U53" s="695"/>
      <c r="V53" s="695"/>
      <c r="W53" s="695"/>
      <c r="Y53" s="287"/>
      <c r="Z53" s="287"/>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row>
    <row r="54" spans="1:153" s="636" customFormat="1" ht="17.25" customHeight="1" thickBot="1">
      <c r="A54" s="303"/>
      <c r="AB54" s="638"/>
      <c r="AC54" s="630"/>
      <c r="AD54" s="630"/>
      <c r="AE54" s="630"/>
      <c r="AF54" s="630"/>
      <c r="AG54" s="631"/>
      <c r="AH54" s="632"/>
      <c r="AI54" s="632"/>
      <c r="AJ54" s="632"/>
      <c r="AK54" s="632"/>
      <c r="AL54" s="632"/>
      <c r="AM54" s="632"/>
      <c r="AN54" s="631"/>
      <c r="AO54" s="631"/>
      <c r="AP54" s="631"/>
      <c r="AQ54" s="631"/>
      <c r="AR54" s="631"/>
      <c r="AS54" s="631"/>
      <c r="AT54" s="631"/>
      <c r="AU54" s="631"/>
      <c r="AV54" s="631"/>
      <c r="AW54" s="631"/>
      <c r="AX54" s="631"/>
      <c r="AY54" s="631"/>
      <c r="AZ54" s="631"/>
      <c r="BA54" s="631"/>
      <c r="BB54" s="631"/>
      <c r="BC54" s="631"/>
      <c r="BD54" s="633"/>
      <c r="BE54" s="633"/>
      <c r="BF54" s="633"/>
      <c r="BG54" s="633"/>
      <c r="BH54" s="633"/>
      <c r="BI54" s="633"/>
      <c r="BJ54" s="633"/>
      <c r="BK54" s="633"/>
      <c r="BL54" s="633"/>
      <c r="BM54" s="633"/>
      <c r="BN54" s="633"/>
      <c r="BO54" s="633"/>
      <c r="BP54" s="633"/>
      <c r="BQ54" s="633"/>
      <c r="BR54" s="633"/>
      <c r="BS54" s="633"/>
      <c r="BT54" s="633"/>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row>
    <row r="55" spans="1:153" ht="17.25" hidden="1" customHeight="1">
      <c r="EO55" s="633"/>
      <c r="EP55" s="633"/>
      <c r="EQ55" s="633"/>
      <c r="ER55" s="633"/>
      <c r="ES55" s="633"/>
      <c r="ET55" s="633"/>
      <c r="EU55" s="633"/>
      <c r="EV55" s="633"/>
      <c r="EW55" s="633"/>
    </row>
    <row r="56" spans="1:153" ht="17.25" hidden="1" customHeight="1">
      <c r="EO56" s="633"/>
      <c r="EP56" s="633"/>
      <c r="EQ56" s="633"/>
      <c r="ER56" s="633"/>
      <c r="ES56" s="633"/>
      <c r="ET56" s="633"/>
      <c r="EU56" s="633"/>
      <c r="EV56" s="633"/>
      <c r="EW56" s="633"/>
    </row>
    <row r="57" spans="1:153" ht="17.25" hidden="1" customHeight="1">
      <c r="EO57" s="633"/>
      <c r="EP57" s="633"/>
      <c r="EQ57" s="633"/>
      <c r="ER57" s="633"/>
      <c r="ES57" s="633"/>
      <c r="ET57" s="633"/>
      <c r="EU57" s="633"/>
      <c r="EV57" s="633"/>
      <c r="EW57" s="633"/>
    </row>
    <row r="58" spans="1:153" ht="17.25" hidden="1" customHeight="1">
      <c r="EO58" s="633"/>
      <c r="EP58" s="633"/>
      <c r="EQ58" s="633"/>
      <c r="ER58" s="633"/>
      <c r="ES58" s="633"/>
      <c r="ET58" s="633"/>
      <c r="EU58" s="633"/>
      <c r="EV58" s="633"/>
      <c r="EW58" s="633"/>
    </row>
    <row r="59" spans="1:153" ht="17.25" hidden="1" customHeight="1">
      <c r="EO59" s="633"/>
      <c r="EP59" s="633"/>
      <c r="EQ59" s="633"/>
      <c r="ER59" s="633"/>
      <c r="ES59" s="633"/>
      <c r="ET59" s="633"/>
      <c r="EU59" s="633"/>
      <c r="EV59" s="633"/>
      <c r="EW59" s="633"/>
    </row>
    <row r="60" spans="1:153" ht="17.25" hidden="1" customHeight="1">
      <c r="EO60" s="633"/>
      <c r="EP60" s="633"/>
      <c r="EQ60" s="633"/>
      <c r="ER60" s="633"/>
      <c r="ES60" s="633"/>
      <c r="ET60" s="633"/>
      <c r="EU60" s="633"/>
      <c r="EV60" s="633"/>
      <c r="EW60" s="633"/>
    </row>
    <row r="61" spans="1:153" ht="17.25" hidden="1" customHeight="1">
      <c r="EO61" s="633"/>
      <c r="EP61" s="633"/>
      <c r="EQ61" s="633"/>
      <c r="ER61" s="633"/>
      <c r="ES61" s="633"/>
      <c r="ET61" s="633"/>
      <c r="EU61" s="633"/>
      <c r="EV61" s="633"/>
      <c r="EW61" s="633"/>
    </row>
    <row r="62" spans="1:153" ht="17.25" hidden="1" customHeight="1">
      <c r="EO62" s="633"/>
      <c r="EP62" s="633"/>
      <c r="EQ62" s="633"/>
      <c r="ER62" s="633"/>
      <c r="ES62" s="633"/>
      <c r="ET62" s="633"/>
      <c r="EU62" s="633"/>
      <c r="EV62" s="633"/>
      <c r="EW62" s="633"/>
    </row>
    <row r="63" spans="1:153" ht="17.25" hidden="1" customHeight="1">
      <c r="EO63" s="633"/>
      <c r="EP63" s="633"/>
      <c r="EQ63" s="633"/>
      <c r="ER63" s="633"/>
      <c r="ES63" s="633"/>
      <c r="ET63" s="633"/>
      <c r="EU63" s="633"/>
      <c r="EV63" s="633"/>
      <c r="EW63" s="633"/>
    </row>
    <row r="64" spans="1:153" ht="17.25" hidden="1" customHeight="1">
      <c r="EO64" s="633"/>
      <c r="EP64" s="633"/>
      <c r="EQ64" s="633"/>
      <c r="ER64" s="633"/>
      <c r="ES64" s="633"/>
      <c r="ET64" s="633"/>
      <c r="EU64" s="633"/>
      <c r="EV64" s="633"/>
      <c r="EW64" s="633"/>
    </row>
    <row r="65" spans="145:153" ht="17.25" hidden="1" customHeight="1">
      <c r="EO65" s="633"/>
      <c r="EP65" s="633"/>
      <c r="EQ65" s="633"/>
      <c r="ER65" s="633"/>
      <c r="ES65" s="633"/>
      <c r="ET65" s="633"/>
      <c r="EU65" s="633"/>
      <c r="EV65" s="633"/>
      <c r="EW65" s="633"/>
    </row>
    <row r="66" spans="145:153" ht="17.25" hidden="1" customHeight="1">
      <c r="EO66" s="633"/>
      <c r="EP66" s="633"/>
      <c r="EQ66" s="633"/>
      <c r="ER66" s="633"/>
      <c r="ES66" s="633"/>
      <c r="ET66" s="633"/>
      <c r="EU66" s="633"/>
      <c r="EV66" s="633"/>
      <c r="EW66" s="633"/>
    </row>
    <row r="67" spans="145:153" ht="17.25" hidden="1" customHeight="1">
      <c r="EO67" s="633"/>
      <c r="EP67" s="633"/>
      <c r="EQ67" s="633"/>
      <c r="ER67" s="633"/>
      <c r="ES67" s="633"/>
      <c r="ET67" s="633"/>
      <c r="EU67" s="633"/>
      <c r="EV67" s="633"/>
      <c r="EW67" s="633"/>
    </row>
    <row r="68" spans="145:153" ht="17.25" hidden="1" customHeight="1">
      <c r="EO68" s="633"/>
      <c r="EP68" s="633"/>
      <c r="EQ68" s="633"/>
      <c r="ER68" s="633"/>
      <c r="ES68" s="633"/>
      <c r="ET68" s="633"/>
      <c r="EU68" s="633"/>
      <c r="EV68" s="633"/>
      <c r="EW68" s="633"/>
    </row>
    <row r="69" spans="145:153" ht="17.25" hidden="1" customHeight="1">
      <c r="EO69" s="633"/>
      <c r="EP69" s="633"/>
      <c r="EQ69" s="633"/>
      <c r="ER69" s="633"/>
      <c r="ES69" s="633"/>
      <c r="ET69" s="633"/>
      <c r="EU69" s="633"/>
      <c r="EV69" s="633"/>
      <c r="EW69" s="633"/>
    </row>
    <row r="70" spans="145:153" ht="17.25" hidden="1" customHeight="1">
      <c r="EO70" s="633"/>
      <c r="EP70" s="633"/>
      <c r="EQ70" s="633"/>
      <c r="ER70" s="633"/>
      <c r="ES70" s="633"/>
      <c r="ET70" s="633"/>
      <c r="EU70" s="633"/>
      <c r="EV70" s="633"/>
      <c r="EW70" s="633"/>
    </row>
    <row r="71" spans="145:153" ht="17.25" hidden="1" customHeight="1">
      <c r="EO71" s="633"/>
      <c r="EP71" s="633"/>
      <c r="EQ71" s="633"/>
      <c r="ER71" s="633"/>
      <c r="ES71" s="633"/>
      <c r="ET71" s="633"/>
      <c r="EU71" s="633"/>
      <c r="EV71" s="633"/>
      <c r="EW71" s="633"/>
    </row>
    <row r="72" spans="145:153" ht="17.25" hidden="1" customHeight="1">
      <c r="EO72" s="633"/>
      <c r="EP72" s="633"/>
      <c r="EQ72" s="633"/>
      <c r="ER72" s="633"/>
      <c r="ES72" s="633"/>
      <c r="ET72" s="633"/>
      <c r="EU72" s="633"/>
      <c r="EV72" s="633"/>
      <c r="EW72" s="633"/>
    </row>
    <row r="73" spans="145:153" ht="17.25" hidden="1" customHeight="1">
      <c r="EO73" s="633"/>
      <c r="EP73" s="633"/>
      <c r="EQ73" s="633"/>
      <c r="ER73" s="633"/>
      <c r="ES73" s="633"/>
      <c r="ET73" s="633"/>
      <c r="EU73" s="633"/>
      <c r="EV73" s="633"/>
      <c r="EW73" s="633"/>
    </row>
    <row r="74" spans="145:153" ht="17.25" hidden="1" customHeight="1">
      <c r="EO74" s="633"/>
      <c r="EP74" s="633"/>
      <c r="EQ74" s="633"/>
      <c r="ER74" s="633"/>
      <c r="ES74" s="633"/>
      <c r="ET74" s="633"/>
      <c r="EU74" s="633"/>
      <c r="EV74" s="633"/>
      <c r="EW74" s="633"/>
    </row>
    <row r="75" spans="145:153" ht="17.25" hidden="1" customHeight="1">
      <c r="EO75" s="633"/>
      <c r="EP75" s="633"/>
      <c r="EQ75" s="633"/>
      <c r="ER75" s="633"/>
      <c r="ES75" s="633"/>
      <c r="ET75" s="633"/>
      <c r="EU75" s="633"/>
      <c r="EV75" s="633"/>
      <c r="EW75" s="633"/>
    </row>
    <row r="76" spans="145:153" ht="17.25" hidden="1" customHeight="1">
      <c r="EO76" s="633"/>
      <c r="EP76" s="633"/>
      <c r="EQ76" s="633"/>
      <c r="ER76" s="633"/>
      <c r="ES76" s="633"/>
      <c r="ET76" s="633"/>
      <c r="EU76" s="633"/>
      <c r="EV76" s="633"/>
      <c r="EW76" s="633"/>
    </row>
    <row r="77" spans="145:153" ht="17.25" hidden="1" customHeight="1">
      <c r="EO77" s="633"/>
      <c r="EP77" s="633"/>
      <c r="EQ77" s="633"/>
      <c r="ER77" s="633"/>
      <c r="ES77" s="633"/>
      <c r="ET77" s="633"/>
      <c r="EU77" s="633"/>
      <c r="EV77" s="633"/>
      <c r="EW77" s="633"/>
    </row>
    <row r="78" spans="145:153" ht="17.25" hidden="1" customHeight="1">
      <c r="EO78" s="633"/>
      <c r="EP78" s="633"/>
      <c r="EQ78" s="633"/>
      <c r="ER78" s="633"/>
      <c r="ES78" s="633"/>
      <c r="ET78" s="633"/>
      <c r="EU78" s="633"/>
      <c r="EV78" s="633"/>
      <c r="EW78" s="633"/>
    </row>
    <row r="79" spans="145:153" ht="17.25" hidden="1" customHeight="1">
      <c r="EO79" s="633"/>
      <c r="EP79" s="633"/>
      <c r="EQ79" s="633"/>
      <c r="ER79" s="633"/>
      <c r="ES79" s="633"/>
      <c r="ET79" s="633"/>
      <c r="EU79" s="633"/>
      <c r="EV79" s="633"/>
      <c r="EW79" s="633"/>
    </row>
    <row r="80" spans="145:153" ht="17.25" hidden="1" customHeight="1">
      <c r="EO80" s="633"/>
      <c r="EP80" s="633"/>
      <c r="EQ80" s="633"/>
      <c r="ER80" s="633"/>
      <c r="ES80" s="633"/>
      <c r="ET80" s="633"/>
      <c r="EU80" s="633"/>
      <c r="EV80" s="633"/>
      <c r="EW80" s="633"/>
    </row>
    <row r="81" spans="145:153" ht="17.25" hidden="1" customHeight="1">
      <c r="EO81" s="633"/>
      <c r="EP81" s="633"/>
      <c r="EQ81" s="633"/>
      <c r="ER81" s="633"/>
      <c r="ES81" s="633"/>
      <c r="ET81" s="633"/>
      <c r="EU81" s="633"/>
      <c r="EV81" s="633"/>
      <c r="EW81" s="633"/>
    </row>
    <row r="82" spans="145:153" ht="17.25" hidden="1" customHeight="1">
      <c r="EO82" s="633"/>
      <c r="EP82" s="633"/>
      <c r="EQ82" s="633"/>
      <c r="ER82" s="633"/>
      <c r="ES82" s="633"/>
      <c r="ET82" s="633"/>
      <c r="EU82" s="633"/>
      <c r="EV82" s="633"/>
      <c r="EW82" s="633"/>
    </row>
    <row r="83" spans="145:153" ht="17.25" hidden="1" customHeight="1">
      <c r="EO83" s="633"/>
      <c r="EP83" s="633"/>
      <c r="EQ83" s="633"/>
      <c r="ER83" s="633"/>
      <c r="ES83" s="633"/>
      <c r="ET83" s="633"/>
      <c r="EU83" s="633"/>
      <c r="EV83" s="633"/>
      <c r="EW83" s="633"/>
    </row>
    <row r="84" spans="145:153" ht="17.25" hidden="1" customHeight="1">
      <c r="EO84" s="633"/>
      <c r="EP84" s="633"/>
      <c r="EQ84" s="633"/>
      <c r="ER84" s="633"/>
      <c r="ES84" s="633"/>
      <c r="ET84" s="633"/>
      <c r="EU84" s="633"/>
      <c r="EV84" s="633"/>
      <c r="EW84" s="633"/>
    </row>
    <row r="85" spans="145:153" ht="17.25" hidden="1" customHeight="1">
      <c r="EO85" s="633"/>
      <c r="EP85" s="633"/>
      <c r="EQ85" s="633"/>
      <c r="ER85" s="633"/>
      <c r="ES85" s="633"/>
      <c r="ET85" s="633"/>
      <c r="EU85" s="633"/>
      <c r="EV85" s="633"/>
      <c r="EW85" s="633"/>
    </row>
    <row r="86" spans="145:153" ht="17.25" hidden="1" customHeight="1">
      <c r="EO86" s="633"/>
      <c r="EP86" s="633"/>
      <c r="EQ86" s="633"/>
      <c r="ER86" s="633"/>
      <c r="ES86" s="633"/>
      <c r="ET86" s="633"/>
      <c r="EU86" s="633"/>
      <c r="EV86" s="633"/>
      <c r="EW86" s="633"/>
    </row>
    <row r="87" spans="145:153" ht="17.25" hidden="1" customHeight="1">
      <c r="EO87" s="633"/>
      <c r="EP87" s="633"/>
      <c r="EQ87" s="633"/>
      <c r="ER87" s="633"/>
      <c r="ES87" s="633"/>
      <c r="ET87" s="633"/>
      <c r="EU87" s="633"/>
      <c r="EV87" s="633"/>
      <c r="EW87" s="633"/>
    </row>
    <row r="88" spans="145:153" ht="17.25" hidden="1" customHeight="1">
      <c r="EO88" s="633"/>
      <c r="EP88" s="633"/>
      <c r="EQ88" s="633"/>
      <c r="ER88" s="633"/>
      <c r="ES88" s="633"/>
      <c r="ET88" s="633"/>
      <c r="EU88" s="633"/>
      <c r="EV88" s="633"/>
      <c r="EW88" s="633"/>
    </row>
    <row r="89" spans="145:153" ht="17.25" hidden="1" customHeight="1">
      <c r="EO89" s="633"/>
      <c r="EP89" s="633"/>
      <c r="EQ89" s="633"/>
      <c r="ER89" s="633"/>
      <c r="ES89" s="633"/>
      <c r="ET89" s="633"/>
      <c r="EU89" s="633"/>
      <c r="EV89" s="633"/>
      <c r="EW89" s="633"/>
    </row>
    <row r="90" spans="145:153" ht="17.25" hidden="1" customHeight="1">
      <c r="EO90" s="633"/>
      <c r="EP90" s="633"/>
      <c r="EQ90" s="633"/>
      <c r="ER90" s="633"/>
      <c r="ES90" s="633"/>
      <c r="ET90" s="633"/>
      <c r="EU90" s="633"/>
      <c r="EV90" s="633"/>
      <c r="EW90" s="633"/>
    </row>
    <row r="91" spans="145:153" ht="17.25" hidden="1" customHeight="1">
      <c r="EO91" s="633"/>
      <c r="EP91" s="633"/>
      <c r="EQ91" s="633"/>
      <c r="ER91" s="633"/>
      <c r="ES91" s="633"/>
      <c r="ET91" s="633"/>
      <c r="EU91" s="633"/>
      <c r="EV91" s="633"/>
      <c r="EW91" s="633"/>
    </row>
    <row r="92" spans="145:153" ht="3" customHeight="1">
      <c r="EO92" s="633"/>
      <c r="EP92" s="633"/>
      <c r="EQ92" s="633"/>
      <c r="ER92" s="633"/>
      <c r="ES92" s="633"/>
      <c r="ET92" s="633"/>
      <c r="EU92" s="633"/>
      <c r="EV92" s="633"/>
      <c r="EW92" s="633"/>
    </row>
    <row r="93" spans="145:153" ht="17.25" hidden="1" customHeight="1">
      <c r="EO93" s="633"/>
      <c r="EP93" s="633"/>
      <c r="EQ93" s="633"/>
      <c r="ER93" s="633"/>
      <c r="ES93" s="633"/>
      <c r="ET93" s="633"/>
      <c r="EU93" s="633"/>
      <c r="EV93" s="633"/>
      <c r="EW93" s="633"/>
    </row>
    <row r="94" spans="145:153" hidden="1"/>
    <row r="95" spans="145:153" hidden="1"/>
    <row r="96" spans="145:153" hidden="1"/>
    <row r="97" spans="1:153" hidden="1"/>
    <row r="98" spans="1:153" hidden="1"/>
    <row r="99" spans="1:153" hidden="1"/>
    <row r="100" spans="1:153" hidden="1"/>
    <row r="101" spans="1:153" hidden="1"/>
    <row r="102" spans="1:153" hidden="1"/>
    <row r="103" spans="1:153" hidden="1"/>
    <row r="104" spans="1:153" hidden="1"/>
    <row r="105" spans="1:153" ht="17.25" hidden="1" customHeight="1">
      <c r="B105" s="304"/>
      <c r="C105" s="634"/>
      <c r="EO105" s="633"/>
      <c r="EP105" s="633"/>
      <c r="EQ105" s="633"/>
      <c r="ER105" s="633"/>
      <c r="ES105" s="633"/>
      <c r="ET105" s="633"/>
      <c r="EU105" s="633"/>
      <c r="EV105" s="633"/>
      <c r="EW105" s="633"/>
    </row>
    <row r="106" spans="1:153" s="307" customFormat="1" ht="409.5" customHeight="1">
      <c r="A106" s="306"/>
      <c r="AB106" s="629"/>
      <c r="AC106" s="308"/>
      <c r="AD106" s="308"/>
      <c r="AE106" s="308"/>
      <c r="AF106" s="308"/>
      <c r="AG106" s="309"/>
      <c r="AH106" s="310"/>
      <c r="AI106" s="310"/>
      <c r="AJ106" s="310"/>
      <c r="AK106" s="310"/>
      <c r="AL106" s="310"/>
      <c r="AM106" s="310"/>
      <c r="AN106" s="309"/>
      <c r="AO106" s="309"/>
      <c r="AP106" s="309"/>
      <c r="AQ106" s="309"/>
      <c r="AR106" s="309"/>
      <c r="AS106" s="309"/>
      <c r="AT106" s="309"/>
      <c r="AU106" s="309"/>
      <c r="AV106" s="309"/>
      <c r="AW106" s="309"/>
      <c r="AX106" s="309"/>
      <c r="AY106" s="309"/>
      <c r="AZ106" s="309"/>
      <c r="BA106" s="309"/>
      <c r="BB106" s="309"/>
      <c r="BC106" s="309"/>
      <c r="BD106" s="311"/>
      <c r="BE106" s="311"/>
      <c r="BF106" s="311"/>
      <c r="BG106" s="311"/>
      <c r="BH106" s="311"/>
      <c r="BI106" s="311"/>
      <c r="BJ106" s="311"/>
      <c r="BK106" s="311"/>
      <c r="BL106" s="311"/>
      <c r="BM106" s="311"/>
      <c r="BN106" s="311"/>
      <c r="BO106" s="311"/>
      <c r="BP106" s="311"/>
      <c r="BQ106" s="311"/>
      <c r="BR106" s="311"/>
      <c r="BS106" s="311"/>
      <c r="BT106" s="311"/>
      <c r="BU106" s="311"/>
      <c r="BV106" s="311"/>
      <c r="BW106" s="311"/>
      <c r="BX106" s="311"/>
      <c r="BY106" s="311"/>
      <c r="BZ106" s="311"/>
      <c r="CA106" s="311"/>
      <c r="CB106" s="311"/>
      <c r="CC106" s="311"/>
      <c r="CD106" s="311"/>
      <c r="CE106" s="311"/>
      <c r="CF106" s="311"/>
      <c r="CG106" s="311"/>
      <c r="CH106" s="311"/>
      <c r="CI106" s="311"/>
      <c r="CJ106" s="311"/>
      <c r="CK106" s="311"/>
      <c r="CL106" s="311"/>
      <c r="CM106" s="311"/>
      <c r="CN106" s="311"/>
      <c r="CO106" s="311"/>
      <c r="CP106" s="311"/>
      <c r="CQ106" s="311"/>
      <c r="CR106" s="311"/>
      <c r="CS106" s="311"/>
      <c r="CT106" s="311"/>
      <c r="CU106" s="311"/>
      <c r="CV106" s="311"/>
      <c r="CW106" s="311"/>
      <c r="CX106" s="311"/>
      <c r="CY106" s="311"/>
      <c r="CZ106" s="311"/>
      <c r="DA106" s="311"/>
      <c r="DB106" s="311"/>
      <c r="DC106" s="311"/>
      <c r="DD106" s="311"/>
      <c r="DE106" s="311"/>
      <c r="DF106" s="311"/>
      <c r="DG106" s="311"/>
      <c r="DH106" s="311"/>
      <c r="DI106" s="311"/>
      <c r="DJ106" s="311"/>
      <c r="DK106" s="311"/>
      <c r="DL106" s="311"/>
      <c r="DM106" s="311"/>
      <c r="DN106" s="311"/>
      <c r="DO106" s="311"/>
      <c r="DP106" s="311"/>
      <c r="DQ106" s="311"/>
      <c r="DR106" s="311"/>
      <c r="DS106" s="311"/>
      <c r="DT106" s="311"/>
      <c r="DU106" s="311"/>
      <c r="DV106" s="311"/>
      <c r="DW106" s="311"/>
      <c r="DX106" s="311"/>
      <c r="DY106" s="311"/>
      <c r="DZ106" s="311"/>
      <c r="EA106" s="311"/>
      <c r="EB106" s="311"/>
      <c r="EC106" s="311"/>
      <c r="ED106" s="311"/>
      <c r="EE106" s="311"/>
      <c r="EF106" s="311"/>
      <c r="EG106" s="311"/>
      <c r="EH106" s="311"/>
      <c r="EI106" s="311"/>
      <c r="EJ106" s="311"/>
      <c r="EK106" s="311"/>
      <c r="EL106" s="311"/>
      <c r="EM106" s="311"/>
      <c r="EN106" s="311"/>
      <c r="EO106" s="311"/>
      <c r="EP106" s="311"/>
      <c r="EQ106" s="311"/>
      <c r="ER106" s="311"/>
      <c r="ES106" s="311"/>
      <c r="ET106" s="311"/>
      <c r="EU106" s="311"/>
      <c r="EV106" s="311"/>
      <c r="EW106" s="311"/>
    </row>
    <row r="107" spans="1:153" ht="30.75" customHeight="1">
      <c r="B107" s="703" t="s">
        <v>596</v>
      </c>
      <c r="N107" s="634" t="s">
        <v>597</v>
      </c>
      <c r="EO107" s="633"/>
      <c r="EP107" s="633"/>
      <c r="EQ107" s="633"/>
      <c r="ER107" s="633"/>
      <c r="ES107" s="633"/>
      <c r="ET107" s="633"/>
      <c r="EU107" s="633"/>
      <c r="EV107" s="633"/>
      <c r="EW107" s="633"/>
    </row>
    <row r="108" spans="1:153" ht="1.5" customHeight="1">
      <c r="B108" s="414"/>
      <c r="C108" s="414"/>
      <c r="D108" s="414"/>
      <c r="E108" s="414"/>
      <c r="F108" s="414"/>
      <c r="G108" s="414"/>
      <c r="H108" s="414"/>
      <c r="I108" s="414"/>
      <c r="J108" s="414"/>
      <c r="K108" s="414"/>
      <c r="L108" s="414"/>
      <c r="M108" s="414"/>
      <c r="N108" s="427"/>
      <c r="O108" s="427" t="s">
        <v>41</v>
      </c>
      <c r="P108" s="427"/>
      <c r="Q108" s="427"/>
      <c r="R108" s="427" t="s">
        <v>42</v>
      </c>
      <c r="S108" s="427"/>
      <c r="T108" s="427"/>
      <c r="U108" s="427"/>
      <c r="V108" s="704" t="s">
        <v>43</v>
      </c>
      <c r="W108" s="427"/>
      <c r="X108" s="414"/>
      <c r="Y108" s="414"/>
      <c r="Z108" s="316"/>
      <c r="AG108" s="317" t="e">
        <f>#REF!</f>
        <v>#REF!</v>
      </c>
      <c r="EO108" s="633"/>
      <c r="EP108" s="633"/>
      <c r="EQ108" s="633"/>
      <c r="ER108" s="633"/>
      <c r="ES108" s="633"/>
      <c r="ET108" s="633"/>
      <c r="EU108" s="633"/>
      <c r="EV108" s="633"/>
      <c r="EW108" s="633"/>
    </row>
    <row r="109" spans="1:153" ht="0.75" customHeight="1">
      <c r="B109" s="427" t="s">
        <v>44</v>
      </c>
      <c r="C109" s="414"/>
      <c r="D109" s="414"/>
      <c r="E109" s="414"/>
      <c r="F109" s="414"/>
      <c r="G109" s="414"/>
      <c r="H109" s="705" t="s">
        <v>45</v>
      </c>
      <c r="I109" s="639"/>
      <c r="J109" s="706" t="s">
        <v>2</v>
      </c>
      <c r="K109" s="639"/>
      <c r="L109" s="639"/>
      <c r="M109" s="639"/>
      <c r="N109" s="639"/>
      <c r="O109" s="639"/>
      <c r="P109" s="639"/>
      <c r="Q109" s="639"/>
      <c r="R109" s="639"/>
      <c r="S109" s="639"/>
      <c r="T109" s="639"/>
      <c r="U109" s="639"/>
      <c r="V109" s="639"/>
      <c r="W109" s="639"/>
      <c r="X109" s="639"/>
      <c r="Y109" s="639"/>
      <c r="Z109" s="316"/>
      <c r="AH109" s="298" t="e">
        <f>-MAX(#REF!-1,0)*2</f>
        <v>#REF!</v>
      </c>
      <c r="AI109" s="298"/>
      <c r="AJ109" s="298"/>
      <c r="AK109" s="298"/>
      <c r="AL109" s="298"/>
      <c r="AM109" s="298"/>
      <c r="AN109" s="317" t="e">
        <f>MAX(AH109,-10)</f>
        <v>#REF!</v>
      </c>
      <c r="EO109" s="633"/>
      <c r="EP109" s="633"/>
      <c r="EQ109" s="633"/>
      <c r="ER109" s="633"/>
      <c r="ES109" s="633"/>
      <c r="ET109" s="633"/>
      <c r="EU109" s="633"/>
      <c r="EV109" s="633"/>
      <c r="EW109" s="633"/>
    </row>
    <row r="110" spans="1:153" ht="0.75" customHeight="1">
      <c r="B110" s="414"/>
      <c r="C110" s="414"/>
      <c r="D110" s="414"/>
      <c r="E110" s="414"/>
      <c r="F110" s="414"/>
      <c r="G110" s="639"/>
      <c r="H110" s="639"/>
      <c r="I110" s="639"/>
      <c r="J110" s="639"/>
      <c r="K110" s="639"/>
      <c r="L110" s="639"/>
      <c r="M110" s="639"/>
      <c r="N110" s="1029"/>
      <c r="O110" s="1029"/>
      <c r="P110" s="1029"/>
      <c r="Q110" s="707" t="s">
        <v>46</v>
      </c>
      <c r="R110" s="708"/>
      <c r="S110" s="707" t="s">
        <v>47</v>
      </c>
      <c r="T110" s="1029">
        <f>N110*R110/100</f>
        <v>0</v>
      </c>
      <c r="U110" s="1029"/>
      <c r="V110" s="1029"/>
      <c r="W110" s="1029"/>
      <c r="X110" s="1029"/>
      <c r="Y110" s="639"/>
      <c r="Z110" s="316"/>
      <c r="EO110" s="633"/>
      <c r="EP110" s="633"/>
      <c r="EQ110" s="633"/>
      <c r="ER110" s="633"/>
      <c r="ES110" s="633"/>
      <c r="ET110" s="633"/>
      <c r="EU110" s="633"/>
      <c r="EV110" s="633"/>
      <c r="EW110" s="633"/>
    </row>
    <row r="111" spans="1:153" ht="0.75" customHeight="1">
      <c r="B111" s="316"/>
      <c r="C111" s="1032" t="s">
        <v>2</v>
      </c>
      <c r="D111" s="1032"/>
      <c r="E111" s="1032"/>
      <c r="F111" s="1032"/>
      <c r="G111" s="1032"/>
      <c r="H111" s="1032"/>
      <c r="I111" s="1032"/>
      <c r="J111" s="1032"/>
      <c r="K111" s="1032"/>
      <c r="L111" s="1032"/>
      <c r="M111" s="1032"/>
      <c r="N111" s="1032"/>
      <c r="O111" s="1032"/>
      <c r="P111" s="1032"/>
      <c r="Q111" s="1032"/>
      <c r="R111" s="1032"/>
      <c r="S111" s="1032"/>
      <c r="T111" s="1032"/>
      <c r="U111" s="1032"/>
      <c r="V111" s="1032"/>
      <c r="W111" s="1032"/>
      <c r="X111" s="1032"/>
      <c r="Y111" s="1032"/>
      <c r="Z111" s="316"/>
      <c r="EO111" s="633"/>
      <c r="EP111" s="633"/>
      <c r="EQ111" s="633"/>
      <c r="ER111" s="633"/>
      <c r="ES111" s="633"/>
      <c r="ET111" s="633"/>
      <c r="EU111" s="633"/>
      <c r="EV111" s="633"/>
      <c r="EW111" s="633"/>
    </row>
    <row r="112" spans="1:153" ht="0.75" customHeight="1">
      <c r="B112" s="316"/>
      <c r="C112" s="316"/>
      <c r="D112" s="316"/>
      <c r="E112" s="316"/>
      <c r="F112" s="316"/>
      <c r="G112" s="323"/>
      <c r="H112" s="323"/>
      <c r="I112" s="639"/>
      <c r="J112" s="639"/>
      <c r="K112" s="639"/>
      <c r="L112" s="639"/>
      <c r="M112" s="639"/>
      <c r="N112" s="1029"/>
      <c r="O112" s="1029"/>
      <c r="P112" s="1029"/>
      <c r="Q112" s="707"/>
      <c r="R112" s="708"/>
      <c r="S112" s="707"/>
      <c r="T112" s="1029">
        <f>N112*R112/100</f>
        <v>0</v>
      </c>
      <c r="U112" s="1029"/>
      <c r="V112" s="1029"/>
      <c r="W112" s="1029"/>
      <c r="X112" s="1029"/>
      <c r="Y112" s="639"/>
      <c r="Z112" s="316"/>
      <c r="EO112" s="633"/>
      <c r="EP112" s="633"/>
      <c r="EQ112" s="633"/>
      <c r="ER112" s="633"/>
      <c r="ES112" s="633"/>
      <c r="ET112" s="633"/>
      <c r="EU112" s="633"/>
      <c r="EV112" s="633"/>
      <c r="EW112" s="633"/>
    </row>
    <row r="113" spans="1:153" ht="0.75" customHeight="1">
      <c r="B113" s="316"/>
      <c r="C113" s="316"/>
      <c r="D113" s="316"/>
      <c r="E113" s="316"/>
      <c r="F113" s="316"/>
      <c r="G113" s="323"/>
      <c r="H113" s="323"/>
      <c r="I113" s="639"/>
      <c r="J113" s="639"/>
      <c r="K113" s="639"/>
      <c r="L113" s="639"/>
      <c r="M113" s="639"/>
      <c r="N113" s="1029"/>
      <c r="O113" s="1029"/>
      <c r="P113" s="1029"/>
      <c r="Q113" s="707"/>
      <c r="R113" s="708"/>
      <c r="S113" s="707"/>
      <c r="T113" s="1029">
        <f>N113*R113/100</f>
        <v>0</v>
      </c>
      <c r="U113" s="1029"/>
      <c r="V113" s="1029"/>
      <c r="W113" s="1029"/>
      <c r="X113" s="1029"/>
      <c r="Y113" s="639"/>
      <c r="Z113" s="316"/>
      <c r="EO113" s="633"/>
      <c r="EP113" s="633"/>
      <c r="EQ113" s="633"/>
      <c r="ER113" s="633"/>
      <c r="ES113" s="633"/>
      <c r="ET113" s="633"/>
      <c r="EU113" s="633"/>
      <c r="EV113" s="633"/>
      <c r="EW113" s="633"/>
    </row>
    <row r="114" spans="1:153" s="635" customFormat="1" ht="0.75" customHeight="1">
      <c r="A114" s="244"/>
      <c r="B114" s="323"/>
      <c r="C114" s="323"/>
      <c r="D114" s="323"/>
      <c r="E114" s="323"/>
      <c r="F114" s="323"/>
      <c r="G114" s="323"/>
      <c r="H114" s="323"/>
      <c r="I114" s="639"/>
      <c r="J114" s="639"/>
      <c r="K114" s="639"/>
      <c r="L114" s="639"/>
      <c r="M114" s="639"/>
      <c r="N114" s="587"/>
      <c r="O114" s="587"/>
      <c r="P114" s="587"/>
      <c r="Q114" s="707"/>
      <c r="R114" s="639"/>
      <c r="S114" s="707"/>
      <c r="T114" s="587"/>
      <c r="U114" s="587"/>
      <c r="V114" s="587"/>
      <c r="W114" s="587"/>
      <c r="X114" s="587"/>
      <c r="Y114" s="639"/>
      <c r="Z114" s="323"/>
      <c r="AB114" s="629"/>
      <c r="AC114" s="630"/>
      <c r="AD114" s="630"/>
      <c r="AE114" s="630"/>
      <c r="AF114" s="630"/>
      <c r="AG114" s="631"/>
      <c r="AH114" s="632"/>
      <c r="AI114" s="632"/>
      <c r="AJ114" s="632"/>
      <c r="AK114" s="632"/>
      <c r="AL114" s="632"/>
      <c r="AM114" s="632"/>
      <c r="AN114" s="631"/>
      <c r="AO114" s="631"/>
      <c r="AP114" s="631"/>
      <c r="AQ114" s="631"/>
      <c r="AR114" s="631"/>
      <c r="AS114" s="631"/>
      <c r="AT114" s="631"/>
      <c r="AU114" s="631"/>
      <c r="AV114" s="631"/>
      <c r="AW114" s="631"/>
      <c r="AX114" s="631"/>
      <c r="AY114" s="631"/>
      <c r="AZ114" s="631"/>
      <c r="BA114" s="631"/>
      <c r="BB114" s="631"/>
      <c r="BC114" s="631"/>
      <c r="BD114" s="633"/>
      <c r="BE114" s="633"/>
      <c r="BF114" s="633"/>
      <c r="BG114" s="633"/>
      <c r="BH114" s="633"/>
      <c r="BI114" s="633"/>
      <c r="BJ114" s="633"/>
      <c r="BK114" s="633"/>
      <c r="BL114" s="633"/>
      <c r="BM114" s="633"/>
      <c r="BN114" s="633"/>
      <c r="BO114" s="633"/>
      <c r="BP114" s="633"/>
      <c r="BQ114" s="633"/>
      <c r="BR114" s="633"/>
      <c r="BS114" s="633"/>
      <c r="BT114" s="633"/>
      <c r="BU114" s="633"/>
      <c r="BV114" s="633"/>
      <c r="BW114" s="633"/>
      <c r="BX114" s="633"/>
      <c r="BY114" s="633"/>
      <c r="BZ114" s="633"/>
      <c r="CA114" s="633"/>
      <c r="CB114" s="633"/>
      <c r="CC114" s="633"/>
      <c r="CD114" s="633"/>
      <c r="CE114" s="633"/>
      <c r="CF114" s="633"/>
      <c r="CG114" s="633"/>
      <c r="CH114" s="633"/>
      <c r="CI114" s="633"/>
      <c r="CJ114" s="633"/>
      <c r="CK114" s="633"/>
      <c r="CL114" s="633"/>
      <c r="CM114" s="633"/>
      <c r="CN114" s="633"/>
      <c r="CO114" s="633"/>
      <c r="CP114" s="633"/>
      <c r="CQ114" s="633"/>
      <c r="CR114" s="633"/>
      <c r="CS114" s="633"/>
      <c r="CT114" s="633"/>
      <c r="CU114" s="633"/>
      <c r="CV114" s="633"/>
      <c r="CW114" s="633"/>
      <c r="CX114" s="633"/>
      <c r="CY114" s="633"/>
      <c r="CZ114" s="633"/>
      <c r="DA114" s="633"/>
      <c r="DB114" s="633"/>
      <c r="DC114" s="633"/>
      <c r="DD114" s="633"/>
      <c r="DE114" s="633"/>
      <c r="DF114" s="633"/>
      <c r="DG114" s="633"/>
      <c r="DH114" s="633"/>
      <c r="DI114" s="633"/>
      <c r="DJ114" s="633"/>
      <c r="DK114" s="633"/>
      <c r="DL114" s="633"/>
      <c r="DM114" s="633"/>
      <c r="DN114" s="633"/>
      <c r="DO114" s="633"/>
      <c r="DP114" s="633"/>
      <c r="DQ114" s="633"/>
      <c r="DR114" s="633"/>
      <c r="DS114" s="633"/>
      <c r="DT114" s="633"/>
      <c r="DU114" s="633"/>
      <c r="DV114" s="633"/>
      <c r="DW114" s="633"/>
      <c r="DX114" s="633"/>
      <c r="DY114" s="633"/>
      <c r="DZ114" s="633"/>
      <c r="EA114" s="633"/>
      <c r="EB114" s="633"/>
      <c r="EC114" s="633"/>
      <c r="ED114" s="633"/>
      <c r="EE114" s="633"/>
      <c r="EF114" s="633"/>
      <c r="EG114" s="633"/>
      <c r="EH114" s="633"/>
      <c r="EI114" s="633"/>
      <c r="EJ114" s="633"/>
      <c r="EK114" s="633"/>
      <c r="EL114" s="633"/>
      <c r="EM114" s="633"/>
      <c r="EN114" s="633"/>
      <c r="EO114" s="633"/>
      <c r="EP114" s="633"/>
      <c r="EQ114" s="633"/>
      <c r="ER114" s="633"/>
      <c r="ES114" s="633"/>
      <c r="ET114" s="633"/>
      <c r="EU114" s="633"/>
      <c r="EV114" s="633"/>
      <c r="EW114" s="633"/>
    </row>
    <row r="115" spans="1:153" ht="0.75" customHeight="1">
      <c r="B115" s="316"/>
      <c r="C115" s="316"/>
      <c r="D115" s="316"/>
      <c r="E115" s="316"/>
      <c r="F115" s="316"/>
      <c r="G115" s="323"/>
      <c r="H115" s="323"/>
      <c r="I115" s="639"/>
      <c r="J115" s="639"/>
      <c r="K115" s="639"/>
      <c r="L115" s="639"/>
      <c r="M115" s="639"/>
      <c r="N115" s="639"/>
      <c r="O115" s="639"/>
      <c r="P115" s="639"/>
      <c r="Q115" s="639"/>
      <c r="R115" s="639"/>
      <c r="S115" s="709" t="s">
        <v>48</v>
      </c>
      <c r="T115" s="1029">
        <f>SUM(T110:X113)</f>
        <v>0</v>
      </c>
      <c r="U115" s="1029"/>
      <c r="V115" s="1029"/>
      <c r="W115" s="1029"/>
      <c r="X115" s="1029"/>
      <c r="Y115" s="639"/>
      <c r="Z115" s="316"/>
      <c r="EO115" s="633"/>
      <c r="EP115" s="633"/>
      <c r="EQ115" s="633"/>
      <c r="ER115" s="633"/>
      <c r="ES115" s="633"/>
      <c r="ET115" s="633"/>
      <c r="EU115" s="633"/>
      <c r="EV115" s="633"/>
      <c r="EW115" s="633"/>
    </row>
    <row r="116" spans="1:153" ht="0.75" customHeight="1">
      <c r="B116" s="316"/>
      <c r="C116" s="316"/>
      <c r="D116" s="316"/>
      <c r="E116" s="316"/>
      <c r="F116" s="316"/>
      <c r="G116" s="316"/>
      <c r="H116" s="316"/>
      <c r="I116" s="639"/>
      <c r="J116" s="639"/>
      <c r="K116" s="639"/>
      <c r="L116" s="639"/>
      <c r="M116" s="639"/>
      <c r="N116" s="639"/>
      <c r="O116" s="639"/>
      <c r="P116" s="639"/>
      <c r="Q116" s="639"/>
      <c r="R116" s="639"/>
      <c r="S116" s="639"/>
      <c r="T116" s="639"/>
      <c r="U116" s="639"/>
      <c r="V116" s="639"/>
      <c r="W116" s="639"/>
      <c r="X116" s="639"/>
      <c r="Y116" s="639"/>
      <c r="Z116" s="316"/>
      <c r="EO116" s="633"/>
      <c r="EP116" s="633"/>
      <c r="EQ116" s="633"/>
      <c r="ER116" s="633"/>
      <c r="ES116" s="633"/>
      <c r="ET116" s="633"/>
      <c r="EU116" s="633"/>
      <c r="EV116" s="633"/>
      <c r="EW116" s="633"/>
    </row>
    <row r="117" spans="1:153">
      <c r="B117" s="637" t="s">
        <v>598</v>
      </c>
      <c r="O117" s="637" t="s">
        <v>41</v>
      </c>
      <c r="R117" s="637" t="s">
        <v>42</v>
      </c>
      <c r="V117" s="326" t="s">
        <v>43</v>
      </c>
      <c r="EO117" s="633"/>
      <c r="EP117" s="633"/>
      <c r="EQ117" s="633"/>
      <c r="ER117" s="633"/>
      <c r="ES117" s="633"/>
      <c r="ET117" s="633"/>
      <c r="EU117" s="633"/>
      <c r="EV117" s="633"/>
      <c r="EW117" s="633"/>
    </row>
    <row r="118" spans="1:153" ht="13.5" thickBot="1">
      <c r="I118" s="628" t="s">
        <v>49</v>
      </c>
      <c r="EO118" s="633"/>
      <c r="EP118" s="633"/>
      <c r="EQ118" s="633"/>
      <c r="ER118" s="633"/>
      <c r="ES118" s="633"/>
      <c r="ET118" s="633"/>
      <c r="EU118" s="633"/>
      <c r="EV118" s="633"/>
      <c r="EW118" s="633"/>
    </row>
    <row r="119" spans="1:153" ht="13.5" thickBot="1">
      <c r="F119" s="302" t="s">
        <v>599</v>
      </c>
      <c r="H119" s="811">
        <f>[1]APPLICATION!H74</f>
        <v>0</v>
      </c>
      <c r="I119" s="812"/>
      <c r="J119" s="813"/>
      <c r="N119" s="811">
        <f>[1]APPLICATION!N74</f>
        <v>0</v>
      </c>
      <c r="O119" s="812"/>
      <c r="P119" s="813"/>
      <c r="R119" s="710">
        <v>1.5</v>
      </c>
      <c r="T119" s="1007">
        <f>N119*R119/100</f>
        <v>0</v>
      </c>
      <c r="U119" s="1030"/>
      <c r="V119" s="1030"/>
      <c r="W119" s="1031"/>
      <c r="X119" s="635"/>
      <c r="Y119" s="1020" t="s">
        <v>600</v>
      </c>
      <c r="Z119" s="1021"/>
      <c r="EO119" s="633"/>
      <c r="EP119" s="633"/>
      <c r="EQ119" s="633"/>
      <c r="ER119" s="633"/>
      <c r="ES119" s="633"/>
      <c r="ET119" s="633"/>
      <c r="EU119" s="633"/>
      <c r="EV119" s="633"/>
      <c r="EW119" s="633"/>
    </row>
    <row r="120" spans="1:153" ht="4.5" customHeight="1" thickBot="1">
      <c r="F120" s="263"/>
      <c r="R120" s="429"/>
      <c r="T120" s="329"/>
      <c r="U120" s="329"/>
      <c r="V120" s="329"/>
      <c r="W120" s="329"/>
      <c r="X120" s="329"/>
      <c r="EO120" s="633"/>
      <c r="EP120" s="633"/>
      <c r="EQ120" s="633"/>
      <c r="ER120" s="633"/>
      <c r="ES120" s="633"/>
      <c r="ET120" s="633"/>
      <c r="EU120" s="633"/>
      <c r="EV120" s="633"/>
      <c r="EW120" s="633"/>
    </row>
    <row r="121" spans="1:153" ht="13.5" thickBot="1">
      <c r="F121" s="302" t="s">
        <v>601</v>
      </c>
      <c r="H121" s="811">
        <f>[1]APPLICATION!H76</f>
        <v>0</v>
      </c>
      <c r="I121" s="812"/>
      <c r="J121" s="813"/>
      <c r="N121" s="811">
        <f>[1]APPLICATION!N76</f>
        <v>0</v>
      </c>
      <c r="O121" s="812"/>
      <c r="P121" s="813"/>
      <c r="R121" s="710">
        <v>1.5</v>
      </c>
      <c r="T121" s="1007">
        <f>N121*R121/100</f>
        <v>0</v>
      </c>
      <c r="U121" s="1008"/>
      <c r="V121" s="1008"/>
      <c r="W121" s="1009"/>
      <c r="X121" s="635"/>
      <c r="Y121" s="1020" t="s">
        <v>600</v>
      </c>
      <c r="Z121" s="1021"/>
      <c r="EO121" s="633"/>
      <c r="EP121" s="633"/>
      <c r="EQ121" s="633"/>
      <c r="ER121" s="633"/>
      <c r="ES121" s="633"/>
      <c r="ET121" s="633"/>
      <c r="EU121" s="633"/>
      <c r="EV121" s="633"/>
      <c r="EW121" s="633"/>
    </row>
    <row r="122" spans="1:153" ht="4.5" customHeight="1" thickBot="1">
      <c r="F122" s="263"/>
      <c r="R122" s="429"/>
      <c r="T122" s="329"/>
      <c r="U122" s="329"/>
      <c r="V122" s="329"/>
      <c r="W122" s="329"/>
      <c r="X122" s="329"/>
      <c r="EO122" s="633"/>
      <c r="EP122" s="633"/>
      <c r="EQ122" s="633"/>
      <c r="ER122" s="633"/>
      <c r="ES122" s="633"/>
      <c r="ET122" s="633"/>
      <c r="EU122" s="633"/>
      <c r="EV122" s="633"/>
      <c r="EW122" s="633"/>
    </row>
    <row r="123" spans="1:153" ht="13.5" thickBot="1">
      <c r="F123" s="302" t="s">
        <v>602</v>
      </c>
      <c r="H123" s="811">
        <f>[1]APPLICATION!H78</f>
        <v>0</v>
      </c>
      <c r="I123" s="812"/>
      <c r="J123" s="813"/>
      <c r="N123" s="811">
        <f>[1]APPLICATION!N78</f>
        <v>0</v>
      </c>
      <c r="O123" s="812"/>
      <c r="P123" s="813"/>
      <c r="R123" s="710">
        <v>1.5</v>
      </c>
      <c r="T123" s="1007">
        <f>N123*R123/100</f>
        <v>0</v>
      </c>
      <c r="U123" s="1008"/>
      <c r="V123" s="1008"/>
      <c r="W123" s="1009"/>
      <c r="X123" s="635"/>
      <c r="Y123" s="1020" t="s">
        <v>600</v>
      </c>
      <c r="Z123" s="1021"/>
      <c r="EO123" s="633"/>
      <c r="EP123" s="633"/>
      <c r="EQ123" s="633"/>
      <c r="ER123" s="633"/>
      <c r="ES123" s="633"/>
      <c r="ET123" s="633"/>
      <c r="EU123" s="633"/>
      <c r="EV123" s="633"/>
      <c r="EW123" s="633"/>
    </row>
    <row r="124" spans="1:153" ht="4.5" customHeight="1" thickBot="1">
      <c r="F124" s="263"/>
      <c r="R124" s="429"/>
      <c r="T124" s="329"/>
      <c r="U124" s="329"/>
      <c r="V124" s="329"/>
      <c r="W124" s="329"/>
      <c r="X124" s="329"/>
      <c r="EO124" s="633"/>
      <c r="EP124" s="633"/>
      <c r="EQ124" s="633"/>
      <c r="ER124" s="633"/>
      <c r="ES124" s="633"/>
      <c r="ET124" s="633"/>
      <c r="EU124" s="633"/>
      <c r="EV124" s="633"/>
      <c r="EW124" s="633"/>
    </row>
    <row r="125" spans="1:153" ht="13.5" thickBot="1">
      <c r="F125" s="263" t="s">
        <v>603</v>
      </c>
      <c r="H125" s="811">
        <f>[1]APPLICATION!H80</f>
        <v>0</v>
      </c>
      <c r="I125" s="812"/>
      <c r="J125" s="813"/>
      <c r="N125" s="811">
        <f>[1]APPLICATION!N80</f>
        <v>0</v>
      </c>
      <c r="O125" s="812"/>
      <c r="P125" s="813"/>
      <c r="R125" s="552">
        <v>2.75</v>
      </c>
      <c r="T125" s="1007">
        <f>N125*R125/100</f>
        <v>0</v>
      </c>
      <c r="U125" s="1008"/>
      <c r="V125" s="1008"/>
      <c r="W125" s="1009"/>
      <c r="X125" s="635"/>
      <c r="Y125" s="1020" t="s">
        <v>600</v>
      </c>
      <c r="Z125" s="1021"/>
      <c r="EO125" s="633"/>
      <c r="EP125" s="633"/>
      <c r="EQ125" s="633"/>
      <c r="ER125" s="633"/>
      <c r="ES125" s="633"/>
      <c r="ET125" s="633"/>
      <c r="EU125" s="633"/>
      <c r="EV125" s="633"/>
      <c r="EW125" s="633"/>
    </row>
    <row r="126" spans="1:153" ht="4.5" customHeight="1" thickBot="1">
      <c r="F126" s="263"/>
      <c r="I126" s="1022"/>
      <c r="J126" s="1022"/>
      <c r="K126" s="1022"/>
      <c r="R126" s="429"/>
      <c r="T126" s="329"/>
      <c r="U126" s="329"/>
      <c r="V126" s="329"/>
      <c r="W126" s="329"/>
      <c r="X126" s="329"/>
      <c r="EO126" s="633"/>
      <c r="EP126" s="633"/>
      <c r="EQ126" s="633"/>
      <c r="ER126" s="633"/>
      <c r="ES126" s="633"/>
      <c r="ET126" s="633"/>
      <c r="EU126" s="633"/>
      <c r="EV126" s="633"/>
      <c r="EW126" s="633"/>
    </row>
    <row r="127" spans="1:153" ht="13.5" thickBot="1">
      <c r="F127" s="263" t="s">
        <v>604</v>
      </c>
      <c r="H127" s="811">
        <f>[1]APPLICATION!H82</f>
        <v>0</v>
      </c>
      <c r="I127" s="812"/>
      <c r="J127" s="813"/>
      <c r="N127" s="811">
        <f>[1]APPLICATION!N82</f>
        <v>0</v>
      </c>
      <c r="O127" s="812"/>
      <c r="P127" s="813"/>
      <c r="R127" s="552">
        <v>2.75</v>
      </c>
      <c r="T127" s="1007">
        <f>N127*R127/100</f>
        <v>0</v>
      </c>
      <c r="U127" s="1008"/>
      <c r="V127" s="1008"/>
      <c r="W127" s="1009"/>
      <c r="X127" s="635"/>
      <c r="Y127" s="1020" t="s">
        <v>600</v>
      </c>
      <c r="Z127" s="1021"/>
      <c r="EO127" s="633"/>
      <c r="EP127" s="633"/>
      <c r="EQ127" s="633"/>
      <c r="ER127" s="633"/>
      <c r="ES127" s="633"/>
      <c r="ET127" s="633"/>
      <c r="EU127" s="633"/>
      <c r="EV127" s="633"/>
      <c r="EW127" s="633"/>
    </row>
    <row r="128" spans="1:153" ht="0.75" customHeight="1">
      <c r="F128" s="263"/>
      <c r="R128" s="429"/>
      <c r="T128" s="329"/>
      <c r="U128" s="329"/>
      <c r="V128" s="329"/>
      <c r="W128" s="329"/>
      <c r="X128" s="329"/>
      <c r="EO128" s="633"/>
      <c r="EP128" s="633"/>
      <c r="EQ128" s="633"/>
      <c r="ER128" s="633"/>
      <c r="ES128" s="633"/>
      <c r="ET128" s="633"/>
      <c r="EU128" s="633"/>
      <c r="EV128" s="633"/>
      <c r="EW128" s="633"/>
    </row>
    <row r="129" spans="1:153" ht="14.25" hidden="1" customHeight="1">
      <c r="F129" s="263" t="s">
        <v>156</v>
      </c>
      <c r="H129" s="1023" t="s">
        <v>157</v>
      </c>
      <c r="I129" s="1024"/>
      <c r="J129" s="1025"/>
      <c r="N129" s="1026">
        <f>AD251</f>
        <v>20000</v>
      </c>
      <c r="O129" s="1024"/>
      <c r="P129" s="1025"/>
      <c r="R129" s="711" t="s">
        <v>2</v>
      </c>
      <c r="T129" s="1027">
        <v>0</v>
      </c>
      <c r="U129" s="1028"/>
      <c r="V129" s="1028"/>
      <c r="W129" s="1028"/>
      <c r="X129" s="327"/>
      <c r="EO129" s="633"/>
      <c r="EP129" s="633"/>
      <c r="EQ129" s="633"/>
      <c r="ER129" s="633"/>
      <c r="ES129" s="633"/>
      <c r="ET129" s="633"/>
      <c r="EU129" s="633"/>
      <c r="EV129" s="633"/>
      <c r="EW129" s="633"/>
    </row>
    <row r="130" spans="1:153" ht="2.25" customHeight="1">
      <c r="F130" s="263"/>
      <c r="R130" s="429"/>
      <c r="T130" s="329"/>
      <c r="U130" s="329"/>
      <c r="V130" s="329"/>
      <c r="W130" s="329"/>
      <c r="X130" s="329"/>
      <c r="EO130" s="633"/>
      <c r="EP130" s="633"/>
      <c r="EQ130" s="633"/>
      <c r="ER130" s="633"/>
      <c r="ES130" s="633"/>
      <c r="ET130" s="633"/>
      <c r="EU130" s="633"/>
      <c r="EV130" s="633"/>
      <c r="EW130" s="633"/>
    </row>
    <row r="131" spans="1:153" ht="1.5" customHeight="1">
      <c r="F131" s="263"/>
      <c r="R131" s="429"/>
      <c r="T131" s="329"/>
      <c r="U131" s="329"/>
      <c r="V131" s="329"/>
      <c r="W131" s="329"/>
      <c r="X131" s="329"/>
      <c r="EO131" s="633"/>
      <c r="EP131" s="633"/>
      <c r="EQ131" s="633"/>
      <c r="ER131" s="633"/>
      <c r="ES131" s="633"/>
      <c r="ET131" s="633"/>
      <c r="EU131" s="633"/>
      <c r="EV131" s="633"/>
      <c r="EW131" s="633"/>
    </row>
    <row r="132" spans="1:153" ht="0.75" customHeight="1" thickBot="1">
      <c r="F132" s="263"/>
      <c r="R132" s="429"/>
      <c r="T132" s="329"/>
      <c r="U132" s="329"/>
      <c r="V132" s="329"/>
      <c r="W132" s="329"/>
      <c r="X132" s="329"/>
      <c r="EO132" s="633"/>
      <c r="EP132" s="633"/>
      <c r="EQ132" s="633"/>
      <c r="ER132" s="633"/>
      <c r="ES132" s="633"/>
      <c r="ET132" s="633"/>
      <c r="EU132" s="633"/>
      <c r="EV132" s="633"/>
      <c r="EW132" s="633"/>
    </row>
    <row r="133" spans="1:153" ht="13.5" thickBot="1">
      <c r="F133" s="263" t="s">
        <v>605</v>
      </c>
      <c r="G133" s="1019" t="s">
        <v>606</v>
      </c>
      <c r="H133" s="1019"/>
      <c r="I133" s="1019"/>
      <c r="J133" s="1019"/>
      <c r="K133" s="1019"/>
      <c r="L133" s="1019"/>
      <c r="N133" s="811">
        <f>[1]APPLICATION!N88</f>
        <v>0</v>
      </c>
      <c r="O133" s="812"/>
      <c r="P133" s="813"/>
      <c r="R133" s="552">
        <v>0.5</v>
      </c>
      <c r="T133" s="1007">
        <f>N133*R133/100</f>
        <v>0</v>
      </c>
      <c r="U133" s="1008"/>
      <c r="V133" s="1008"/>
      <c r="W133" s="1009"/>
      <c r="X133" s="635"/>
      <c r="Y133" s="1020" t="s">
        <v>600</v>
      </c>
      <c r="Z133" s="1021"/>
      <c r="EO133" s="633"/>
      <c r="EP133" s="633"/>
      <c r="EQ133" s="633"/>
      <c r="ER133" s="633"/>
      <c r="ES133" s="633"/>
      <c r="ET133" s="633"/>
      <c r="EU133" s="633"/>
      <c r="EV133" s="633"/>
      <c r="EW133" s="633"/>
    </row>
    <row r="134" spans="1:153" ht="3" customHeight="1">
      <c r="R134" s="429"/>
      <c r="T134" s="329"/>
      <c r="U134" s="329"/>
      <c r="V134" s="329"/>
      <c r="W134" s="329"/>
      <c r="X134" s="329"/>
      <c r="EO134" s="633"/>
      <c r="EP134" s="633"/>
      <c r="EQ134" s="633"/>
      <c r="ER134" s="633"/>
      <c r="ES134" s="633"/>
      <c r="ET134" s="633"/>
      <c r="EU134" s="633"/>
      <c r="EV134" s="633"/>
      <c r="EW134" s="633"/>
    </row>
    <row r="135" spans="1:153" ht="3" customHeight="1">
      <c r="O135" s="637" t="s">
        <v>2</v>
      </c>
      <c r="R135" s="331" t="s">
        <v>2</v>
      </c>
      <c r="T135" s="329"/>
      <c r="U135" s="329" t="s">
        <v>2</v>
      </c>
      <c r="V135" s="332" t="s">
        <v>2</v>
      </c>
      <c r="W135" s="329" t="s">
        <v>2</v>
      </c>
      <c r="X135" s="329"/>
      <c r="EO135" s="633"/>
      <c r="EP135" s="633"/>
      <c r="EQ135" s="633"/>
      <c r="ER135" s="633"/>
      <c r="ES135" s="633"/>
      <c r="ET135" s="633"/>
      <c r="EU135" s="633"/>
      <c r="EV135" s="633"/>
      <c r="EW135" s="633"/>
    </row>
    <row r="136" spans="1:153" ht="0.75" customHeight="1" thickBot="1">
      <c r="H136" s="628" t="s">
        <v>2</v>
      </c>
      <c r="I136" s="693" t="s">
        <v>2</v>
      </c>
      <c r="R136" s="429"/>
      <c r="T136" s="329"/>
      <c r="U136" s="329"/>
      <c r="V136" s="329"/>
      <c r="W136" s="329"/>
      <c r="X136" s="329"/>
      <c r="EO136" s="633"/>
      <c r="EP136" s="633"/>
      <c r="EQ136" s="633"/>
      <c r="ER136" s="633"/>
      <c r="ES136" s="633"/>
      <c r="ET136" s="633"/>
      <c r="EU136" s="633"/>
      <c r="EV136" s="633"/>
      <c r="EW136" s="633"/>
    </row>
    <row r="137" spans="1:153" ht="13.5" thickBot="1">
      <c r="F137" s="302" t="s">
        <v>607</v>
      </c>
      <c r="H137" s="873" t="s">
        <v>2</v>
      </c>
      <c r="I137" s="874"/>
      <c r="J137" s="875"/>
      <c r="N137" s="811">
        <f>[1]APPLICATION!N84</f>
        <v>0</v>
      </c>
      <c r="O137" s="812"/>
      <c r="P137" s="813"/>
      <c r="R137" s="710">
        <v>0.65</v>
      </c>
      <c r="T137" s="1007">
        <f>N137*R137/100</f>
        <v>0</v>
      </c>
      <c r="U137" s="1008"/>
      <c r="V137" s="1008"/>
      <c r="W137" s="1009"/>
      <c r="X137" s="635"/>
      <c r="Y137" s="1010" t="s">
        <v>608</v>
      </c>
      <c r="Z137" s="1011"/>
      <c r="EO137" s="633"/>
      <c r="EP137" s="633"/>
      <c r="EQ137" s="633"/>
      <c r="ER137" s="633"/>
      <c r="ES137" s="633"/>
      <c r="ET137" s="633"/>
      <c r="EU137" s="633"/>
      <c r="EV137" s="633"/>
      <c r="EW137" s="633"/>
    </row>
    <row r="138" spans="1:153" ht="4.5" customHeight="1" thickBot="1">
      <c r="F138" s="263"/>
      <c r="R138" s="429"/>
      <c r="T138" s="329"/>
      <c r="U138" s="329"/>
      <c r="V138" s="329"/>
      <c r="W138" s="329"/>
      <c r="X138" s="329"/>
      <c r="EO138" s="633"/>
      <c r="EP138" s="633"/>
      <c r="EQ138" s="633"/>
      <c r="ER138" s="633"/>
      <c r="ES138" s="633"/>
      <c r="ET138" s="633"/>
      <c r="EU138" s="633"/>
      <c r="EV138" s="633"/>
      <c r="EW138" s="633"/>
    </row>
    <row r="139" spans="1:153" ht="13.5" thickBot="1">
      <c r="F139" s="263" t="s">
        <v>609</v>
      </c>
      <c r="H139" s="873" t="s">
        <v>2</v>
      </c>
      <c r="I139" s="874"/>
      <c r="J139" s="875"/>
      <c r="N139" s="811">
        <f>[1]APPLICATION!N86</f>
        <v>0</v>
      </c>
      <c r="O139" s="812"/>
      <c r="P139" s="813"/>
      <c r="R139" s="710">
        <v>0.65</v>
      </c>
      <c r="T139" s="1007">
        <f>N139*R139/100</f>
        <v>0</v>
      </c>
      <c r="U139" s="1008"/>
      <c r="V139" s="1008"/>
      <c r="W139" s="1009"/>
      <c r="X139" s="635"/>
      <c r="Y139" s="1010" t="s">
        <v>608</v>
      </c>
      <c r="Z139" s="1011"/>
      <c r="AB139" s="635"/>
      <c r="AC139" s="712"/>
      <c r="EO139" s="633"/>
      <c r="EP139" s="633"/>
      <c r="EQ139" s="633"/>
      <c r="ER139" s="633"/>
      <c r="ES139" s="633"/>
      <c r="ET139" s="633"/>
      <c r="EU139" s="633"/>
      <c r="EV139" s="633"/>
      <c r="EW139" s="633"/>
    </row>
    <row r="140" spans="1:153" ht="6.75" customHeight="1" thickBot="1">
      <c r="T140" s="329"/>
      <c r="U140" s="329"/>
      <c r="V140" s="329"/>
      <c r="W140" s="329"/>
      <c r="X140" s="329"/>
      <c r="AB140" s="635"/>
      <c r="AC140" s="712"/>
      <c r="EO140" s="633"/>
      <c r="EP140" s="633"/>
      <c r="EQ140" s="633"/>
      <c r="ER140" s="633"/>
      <c r="ES140" s="633"/>
      <c r="ET140" s="633"/>
      <c r="EU140" s="633"/>
      <c r="EV140" s="633"/>
      <c r="EW140" s="633"/>
    </row>
    <row r="141" spans="1:153" ht="13.5" customHeight="1" thickBot="1">
      <c r="F141" s="302" t="s">
        <v>610</v>
      </c>
      <c r="N141" s="1012">
        <f>IF(T143=20,50000,100000)</f>
        <v>50000</v>
      </c>
      <c r="O141" s="1013"/>
      <c r="P141" s="1014"/>
      <c r="S141" s="302" t="s">
        <v>2</v>
      </c>
      <c r="T141" s="1015">
        <f>AC148</f>
        <v>20</v>
      </c>
      <c r="U141" s="1016"/>
      <c r="V141" s="1016"/>
      <c r="W141" s="1017"/>
      <c r="X141" s="329"/>
      <c r="Y141" s="1018" t="s">
        <v>611</v>
      </c>
      <c r="Z141" s="1018"/>
      <c r="AB141" s="635"/>
      <c r="AC141" s="712" t="s">
        <v>2</v>
      </c>
      <c r="EO141" s="633"/>
      <c r="EP141" s="633"/>
      <c r="EQ141" s="633"/>
      <c r="ER141" s="633"/>
      <c r="ES141" s="633"/>
      <c r="ET141" s="633"/>
      <c r="EU141" s="633"/>
      <c r="EV141" s="633"/>
      <c r="EW141" s="633"/>
    </row>
    <row r="142" spans="1:153" ht="12.75" customHeight="1" thickBot="1">
      <c r="T142" s="329"/>
      <c r="U142" s="329"/>
      <c r="V142" s="329"/>
      <c r="W142" s="329"/>
      <c r="X142" s="329"/>
      <c r="Z142" s="713">
        <v>0</v>
      </c>
      <c r="AB142" s="635"/>
      <c r="AC142" s="712"/>
      <c r="EO142" s="633"/>
      <c r="EP142" s="633"/>
      <c r="EQ142" s="633"/>
      <c r="ER142" s="633"/>
      <c r="ES142" s="633"/>
      <c r="ET142" s="633"/>
      <c r="EU142" s="633"/>
      <c r="EV142" s="633"/>
      <c r="EW142" s="633"/>
    </row>
    <row r="143" spans="1:153" ht="17.25" customHeight="1" thickBot="1">
      <c r="F143" s="333"/>
      <c r="S143" s="302" t="s">
        <v>612</v>
      </c>
      <c r="T143" s="994">
        <f>Y143+T141</f>
        <v>20</v>
      </c>
      <c r="U143" s="995"/>
      <c r="V143" s="995"/>
      <c r="W143" s="995"/>
      <c r="X143" s="996"/>
      <c r="Y143" s="714">
        <f>SUM(T119,T121,T123,T125,T127,T133,T137,T139)</f>
        <v>0</v>
      </c>
      <c r="AB143" s="635"/>
      <c r="AC143" s="715">
        <f>Y143+Y50+[1]LIABILITY!G28+Z142</f>
        <v>0</v>
      </c>
      <c r="EO143" s="633"/>
      <c r="EP143" s="633"/>
      <c r="EQ143" s="633"/>
      <c r="ER143" s="633"/>
      <c r="ES143" s="633"/>
      <c r="ET143" s="633"/>
      <c r="EU143" s="633"/>
      <c r="EV143" s="633"/>
      <c r="EW143" s="633"/>
    </row>
    <row r="144" spans="1:153" s="635" customFormat="1" ht="6.75" customHeight="1">
      <c r="A144" s="244"/>
      <c r="T144" s="334"/>
      <c r="U144" s="334"/>
      <c r="V144" s="334"/>
      <c r="W144" s="334"/>
      <c r="X144" s="334"/>
      <c r="AC144" s="716"/>
      <c r="AD144" s="630"/>
      <c r="AE144" s="630"/>
      <c r="AF144" s="630"/>
      <c r="AG144" s="631"/>
      <c r="AH144" s="632"/>
      <c r="AI144" s="632"/>
      <c r="AJ144" s="632"/>
      <c r="AK144" s="632"/>
      <c r="AL144" s="632"/>
      <c r="AM144" s="632"/>
      <c r="AN144" s="631"/>
      <c r="AO144" s="631"/>
      <c r="AP144" s="631"/>
      <c r="AQ144" s="631"/>
      <c r="AR144" s="631"/>
      <c r="AS144" s="631"/>
      <c r="AT144" s="631"/>
      <c r="AU144" s="631"/>
      <c r="AV144" s="631"/>
      <c r="AW144" s="631"/>
      <c r="AX144" s="631"/>
      <c r="AY144" s="631"/>
      <c r="AZ144" s="631"/>
      <c r="BA144" s="631"/>
      <c r="BB144" s="631"/>
      <c r="BC144" s="631"/>
      <c r="BD144" s="633"/>
      <c r="BE144" s="633"/>
      <c r="BF144" s="633"/>
      <c r="BG144" s="633"/>
      <c r="BH144" s="633"/>
      <c r="BI144" s="633"/>
      <c r="BJ144" s="633"/>
      <c r="BK144" s="633"/>
      <c r="BL144" s="633"/>
      <c r="BM144" s="633"/>
      <c r="BN144" s="633"/>
      <c r="BO144" s="633"/>
      <c r="BP144" s="633"/>
      <c r="BQ144" s="633"/>
      <c r="BR144" s="633"/>
      <c r="BS144" s="633"/>
      <c r="BT144" s="633"/>
      <c r="BU144" s="633"/>
      <c r="BV144" s="633"/>
      <c r="BW144" s="633"/>
      <c r="BX144" s="633"/>
      <c r="BY144" s="633"/>
      <c r="BZ144" s="633"/>
      <c r="CA144" s="633"/>
      <c r="CB144" s="633"/>
      <c r="CC144" s="633"/>
      <c r="CD144" s="633"/>
      <c r="CE144" s="633"/>
      <c r="CF144" s="633"/>
      <c r="CG144" s="633"/>
      <c r="CH144" s="633"/>
      <c r="CI144" s="633"/>
      <c r="CJ144" s="633"/>
      <c r="CK144" s="633"/>
      <c r="CL144" s="633"/>
      <c r="CM144" s="633"/>
      <c r="CN144" s="633"/>
      <c r="CO144" s="633"/>
      <c r="CP144" s="633"/>
      <c r="CQ144" s="633"/>
      <c r="CR144" s="633"/>
      <c r="CS144" s="633"/>
      <c r="CT144" s="633"/>
      <c r="CU144" s="633"/>
      <c r="CV144" s="633"/>
      <c r="CW144" s="633"/>
      <c r="CX144" s="633"/>
      <c r="CY144" s="633"/>
      <c r="CZ144" s="633"/>
      <c r="DA144" s="633"/>
      <c r="DB144" s="633"/>
      <c r="DC144" s="633"/>
      <c r="DD144" s="633"/>
      <c r="DE144" s="633"/>
      <c r="DF144" s="633"/>
      <c r="DG144" s="633"/>
      <c r="DH144" s="633"/>
      <c r="DI144" s="633"/>
      <c r="DJ144" s="633"/>
      <c r="DK144" s="633"/>
      <c r="DL144" s="633"/>
      <c r="DM144" s="633"/>
      <c r="DN144" s="633"/>
      <c r="DO144" s="633"/>
      <c r="DP144" s="633"/>
      <c r="DQ144" s="633"/>
      <c r="DR144" s="633"/>
      <c r="DS144" s="633"/>
      <c r="DT144" s="633"/>
      <c r="DU144" s="633"/>
      <c r="DV144" s="633"/>
      <c r="DW144" s="633"/>
      <c r="DX144" s="633"/>
      <c r="DY144" s="633"/>
      <c r="DZ144" s="633"/>
      <c r="EA144" s="633"/>
      <c r="EB144" s="633"/>
      <c r="EC144" s="633"/>
      <c r="ED144" s="633"/>
      <c r="EE144" s="633"/>
      <c r="EF144" s="633"/>
      <c r="EG144" s="633"/>
      <c r="EH144" s="633"/>
      <c r="EI144" s="633"/>
      <c r="EJ144" s="633"/>
      <c r="EK144" s="633"/>
      <c r="EL144" s="633"/>
      <c r="EM144" s="633"/>
      <c r="EN144" s="633"/>
      <c r="EO144" s="633"/>
      <c r="EP144" s="633"/>
      <c r="EQ144" s="633"/>
      <c r="ER144" s="633"/>
      <c r="ES144" s="633"/>
      <c r="ET144" s="633"/>
      <c r="EU144" s="633"/>
      <c r="EV144" s="633"/>
      <c r="EW144" s="633"/>
    </row>
    <row r="145" spans="1:153" s="636" customFormat="1" ht="22.5" customHeight="1" thickBot="1">
      <c r="A145" s="303"/>
      <c r="AC145" s="716">
        <f>IF(AC143&lt;1000,20,0)</f>
        <v>20</v>
      </c>
      <c r="AD145" s="630"/>
      <c r="AE145" s="630"/>
      <c r="AF145" s="630"/>
      <c r="AG145" s="631"/>
      <c r="AH145" s="632"/>
      <c r="AI145" s="632"/>
      <c r="AJ145" s="632"/>
      <c r="AK145" s="632"/>
      <c r="AL145" s="632"/>
      <c r="AM145" s="632"/>
      <c r="AN145" s="631"/>
      <c r="AO145" s="631"/>
      <c r="AP145" s="631"/>
      <c r="AQ145" s="631"/>
      <c r="AR145" s="631"/>
      <c r="AS145" s="631"/>
      <c r="AT145" s="631"/>
      <c r="AU145" s="631"/>
      <c r="AV145" s="631"/>
      <c r="AW145" s="631"/>
      <c r="AX145" s="631"/>
      <c r="AY145" s="631"/>
      <c r="AZ145" s="631"/>
      <c r="BA145" s="631"/>
      <c r="BB145" s="631"/>
      <c r="BC145" s="631"/>
      <c r="BD145" s="633"/>
      <c r="BE145" s="633"/>
      <c r="BF145" s="633"/>
      <c r="BG145" s="633"/>
      <c r="BH145" s="633"/>
      <c r="BI145" s="633"/>
      <c r="BJ145" s="633"/>
      <c r="BK145" s="633"/>
      <c r="BL145" s="633"/>
      <c r="BM145" s="633"/>
      <c r="BN145" s="633"/>
      <c r="BO145" s="633"/>
      <c r="BP145" s="633"/>
      <c r="BQ145" s="633"/>
      <c r="BR145" s="633"/>
      <c r="BS145" s="633"/>
      <c r="BT145" s="633"/>
      <c r="BU145" s="633"/>
      <c r="BV145" s="633"/>
      <c r="BW145" s="633"/>
      <c r="BX145" s="633"/>
      <c r="BY145" s="633"/>
      <c r="BZ145" s="633"/>
      <c r="CA145" s="633"/>
      <c r="CB145" s="633"/>
      <c r="CC145" s="633"/>
      <c r="CD145" s="633"/>
      <c r="CE145" s="633"/>
      <c r="CF145" s="633"/>
      <c r="CG145" s="633"/>
      <c r="CH145" s="633"/>
      <c r="CI145" s="633"/>
      <c r="CJ145" s="633"/>
      <c r="CK145" s="633"/>
      <c r="CL145" s="633"/>
      <c r="CM145" s="633"/>
      <c r="CN145" s="633"/>
      <c r="CO145" s="633"/>
      <c r="CP145" s="633"/>
      <c r="CQ145" s="633"/>
      <c r="CR145" s="633"/>
      <c r="CS145" s="633"/>
      <c r="CT145" s="633"/>
      <c r="CU145" s="633"/>
      <c r="CV145" s="633"/>
      <c r="CW145" s="633"/>
      <c r="CX145" s="633"/>
      <c r="CY145" s="633"/>
      <c r="CZ145" s="633"/>
      <c r="DA145" s="633"/>
      <c r="DB145" s="633"/>
      <c r="DC145" s="633"/>
      <c r="DD145" s="633"/>
      <c r="DE145" s="633"/>
      <c r="DF145" s="633"/>
      <c r="DG145" s="633"/>
      <c r="DH145" s="633"/>
      <c r="DI145" s="633"/>
      <c r="DJ145" s="633"/>
      <c r="DK145" s="633"/>
      <c r="DL145" s="633"/>
      <c r="DM145" s="633"/>
      <c r="DN145" s="633"/>
      <c r="DO145" s="633"/>
      <c r="DP145" s="633"/>
      <c r="DQ145" s="633"/>
      <c r="DR145" s="633"/>
      <c r="DS145" s="633"/>
      <c r="DT145" s="633"/>
      <c r="DU145" s="633"/>
      <c r="DV145" s="633"/>
      <c r="DW145" s="633"/>
      <c r="DX145" s="633"/>
      <c r="DY145" s="633"/>
      <c r="DZ145" s="633"/>
      <c r="EA145" s="633"/>
      <c r="EB145" s="633"/>
      <c r="EC145" s="633"/>
      <c r="ED145" s="633"/>
      <c r="EE145" s="633"/>
      <c r="EF145" s="633"/>
      <c r="EG145" s="633"/>
      <c r="EH145" s="633"/>
      <c r="EI145" s="633"/>
      <c r="EJ145" s="633"/>
      <c r="EK145" s="633"/>
      <c r="EL145" s="633"/>
      <c r="EM145" s="633"/>
      <c r="EN145" s="633"/>
      <c r="EO145" s="633"/>
      <c r="EP145" s="633"/>
      <c r="EQ145" s="633"/>
      <c r="ER145" s="633"/>
      <c r="ES145" s="633"/>
      <c r="ET145" s="633"/>
      <c r="EU145" s="633"/>
      <c r="EV145" s="633"/>
      <c r="EW145" s="633"/>
    </row>
    <row r="146" spans="1:153" ht="41.25">
      <c r="B146" s="703" t="s">
        <v>613</v>
      </c>
      <c r="AB146" s="635"/>
      <c r="AC146" s="716" t="b">
        <f>IF(AC143&gt;999,MAX(AC143*0.03,100))</f>
        <v>0</v>
      </c>
      <c r="EO146" s="633"/>
      <c r="EP146" s="633"/>
      <c r="EQ146" s="633"/>
      <c r="ER146" s="633"/>
      <c r="ES146" s="633"/>
      <c r="ET146" s="633"/>
      <c r="EU146" s="633"/>
      <c r="EV146" s="633"/>
      <c r="EW146" s="633"/>
    </row>
    <row r="147" spans="1:153" ht="9" customHeight="1" thickBot="1">
      <c r="AB147" s="635"/>
      <c r="AC147" s="716">
        <f>SUM(AC145,AC146)</f>
        <v>20</v>
      </c>
      <c r="EO147" s="633"/>
      <c r="EP147" s="633"/>
      <c r="EQ147" s="633"/>
      <c r="ER147" s="633"/>
      <c r="ES147" s="633"/>
      <c r="ET147" s="633"/>
      <c r="EU147" s="633"/>
      <c r="EV147" s="633"/>
      <c r="EW147" s="633"/>
    </row>
    <row r="148" spans="1:153" ht="21" customHeight="1" thickBot="1">
      <c r="B148" s="997" t="s">
        <v>614</v>
      </c>
      <c r="C148" s="997"/>
      <c r="D148" s="997"/>
      <c r="E148" s="997"/>
      <c r="F148" s="997"/>
      <c r="G148" s="998"/>
      <c r="H148" s="999">
        <f>MAX(SUM(T143,Y50),750)</f>
        <v>750</v>
      </c>
      <c r="I148" s="1000"/>
      <c r="J148" s="1000"/>
      <c r="K148" s="1001"/>
      <c r="M148" s="460" t="s">
        <v>2</v>
      </c>
      <c r="N148" s="460"/>
      <c r="O148" s="336"/>
      <c r="P148" s="336"/>
      <c r="Q148" s="336"/>
      <c r="R148" s="336"/>
      <c r="S148" s="717">
        <f>AE50</f>
        <v>0</v>
      </c>
      <c r="T148" s="336"/>
      <c r="U148" s="336"/>
      <c r="V148" s="718"/>
      <c r="W148" s="718"/>
      <c r="X148" s="718"/>
      <c r="AB148" s="635"/>
      <c r="AC148" s="716">
        <f>AC147</f>
        <v>20</v>
      </c>
    </row>
    <row r="149" spans="1:153" ht="9" customHeight="1" thickBot="1">
      <c r="B149" s="719"/>
      <c r="C149" s="719"/>
      <c r="D149" s="719"/>
      <c r="E149" s="719"/>
      <c r="F149" s="719"/>
      <c r="G149" s="720"/>
      <c r="H149" s="337"/>
      <c r="I149" s="337"/>
      <c r="J149" s="337"/>
      <c r="K149" s="337"/>
      <c r="T149" s="338"/>
      <c r="U149" s="338"/>
      <c r="V149" s="338"/>
      <c r="W149" s="338"/>
      <c r="X149" s="338"/>
      <c r="AB149" s="635"/>
      <c r="AC149" s="716"/>
    </row>
    <row r="150" spans="1:153" ht="17.25" customHeight="1" thickBot="1">
      <c r="B150" s="997" t="s">
        <v>231</v>
      </c>
      <c r="C150" s="997"/>
      <c r="D150" s="997"/>
      <c r="E150" s="997"/>
      <c r="F150" s="997"/>
      <c r="G150" s="998"/>
      <c r="H150" s="1002">
        <f>MAX(100,(ROUNDUP(H148*0.05,-1)))</f>
        <v>100</v>
      </c>
      <c r="I150" s="1003"/>
      <c r="J150" s="1003"/>
      <c r="K150" s="1004"/>
      <c r="N150" s="336"/>
      <c r="O150" s="336"/>
      <c r="P150" s="336"/>
      <c r="Q150" s="336"/>
      <c r="R150" s="336"/>
      <c r="S150" s="336"/>
      <c r="T150" s="336"/>
      <c r="U150" s="336"/>
      <c r="V150" s="336"/>
      <c r="W150" s="336"/>
      <c r="X150" s="336"/>
      <c r="Y150" s="336"/>
      <c r="Z150" s="336"/>
      <c r="AA150" s="336"/>
      <c r="AB150" s="635"/>
      <c r="AC150" s="716"/>
      <c r="AD150" s="339"/>
      <c r="AE150" s="339"/>
      <c r="AF150" s="339"/>
    </row>
    <row r="151" spans="1:153" ht="3" customHeight="1">
      <c r="B151" s="721"/>
      <c r="H151" s="340"/>
      <c r="I151" s="340"/>
      <c r="J151" s="340"/>
      <c r="K151" s="340"/>
      <c r="N151" s="336"/>
      <c r="O151" s="336"/>
      <c r="P151" s="336"/>
      <c r="Q151" s="336"/>
      <c r="R151" s="336"/>
      <c r="S151" s="336"/>
      <c r="T151" s="336"/>
      <c r="U151" s="336"/>
      <c r="V151" s="336"/>
      <c r="W151" s="336"/>
      <c r="X151" s="336"/>
      <c r="Y151" s="336"/>
      <c r="Z151" s="336"/>
      <c r="AA151" s="336"/>
      <c r="AB151" s="635"/>
      <c r="AC151" s="716"/>
      <c r="AD151" s="339"/>
      <c r="AE151" s="339"/>
      <c r="AF151" s="339"/>
    </row>
    <row r="152" spans="1:153" ht="8.25" customHeight="1">
      <c r="B152" s="997"/>
      <c r="C152" s="997"/>
      <c r="D152" s="997"/>
      <c r="E152" s="997"/>
      <c r="F152" s="997"/>
      <c r="G152" s="1005"/>
      <c r="H152" s="1006"/>
      <c r="I152" s="1006"/>
      <c r="J152" s="1006"/>
      <c r="K152" s="1006"/>
      <c r="N152" s="336"/>
      <c r="O152" s="336"/>
      <c r="P152" s="336"/>
      <c r="Q152" s="336"/>
      <c r="R152" s="336"/>
      <c r="S152" s="336"/>
      <c r="T152" s="336"/>
      <c r="U152" s="336"/>
      <c r="V152" s="336"/>
      <c r="W152" s="336"/>
      <c r="X152" s="336"/>
      <c r="Y152" s="336"/>
      <c r="Z152" s="336"/>
      <c r="AA152" s="336"/>
      <c r="AB152" s="635"/>
      <c r="AC152" s="716"/>
      <c r="AD152" s="339"/>
      <c r="AE152" s="339"/>
      <c r="AF152" s="339"/>
    </row>
    <row r="153" spans="1:153" ht="9" customHeight="1" thickBot="1">
      <c r="B153" s="721"/>
      <c r="H153" s="341"/>
      <c r="I153" s="341"/>
      <c r="J153" s="341"/>
      <c r="K153" s="341"/>
      <c r="N153" s="336"/>
      <c r="O153" s="336"/>
      <c r="P153" s="336"/>
      <c r="Q153" s="336"/>
      <c r="R153" s="336"/>
      <c r="S153" s="336"/>
      <c r="T153" s="336"/>
      <c r="U153" s="336"/>
      <c r="V153" s="336"/>
      <c r="W153" s="336"/>
      <c r="X153" s="336"/>
      <c r="Y153" s="336"/>
      <c r="Z153" s="336"/>
      <c r="AA153" s="336"/>
      <c r="AB153" s="635"/>
      <c r="AC153" s="716"/>
      <c r="AD153" s="339"/>
      <c r="AE153" s="339"/>
      <c r="AF153" s="339"/>
    </row>
    <row r="154" spans="1:153" ht="21" customHeight="1" thickBot="1">
      <c r="B154" s="958" t="s">
        <v>48</v>
      </c>
      <c r="C154" s="958"/>
      <c r="D154" s="958"/>
      <c r="E154" s="958"/>
      <c r="F154" s="958"/>
      <c r="G154" s="959"/>
      <c r="H154" s="960">
        <f>SUM(H148,H150,H152)</f>
        <v>850</v>
      </c>
      <c r="I154" s="961"/>
      <c r="J154" s="961"/>
      <c r="K154" s="962"/>
      <c r="L154" s="639"/>
      <c r="M154" s="639"/>
      <c r="N154" s="460" t="s">
        <v>615</v>
      </c>
      <c r="O154" s="336"/>
      <c r="P154" s="336"/>
      <c r="Q154" s="336"/>
      <c r="R154" s="336"/>
      <c r="S154" s="336"/>
      <c r="T154" s="336"/>
      <c r="U154" s="336"/>
      <c r="V154" s="336"/>
      <c r="W154" s="336"/>
      <c r="X154" s="336"/>
      <c r="Y154" s="336"/>
      <c r="Z154" s="336"/>
      <c r="AA154" s="336"/>
      <c r="AB154" s="635"/>
      <c r="AC154" s="716"/>
      <c r="AD154" s="339"/>
      <c r="AE154" s="339"/>
      <c r="AF154" s="339"/>
    </row>
    <row r="155" spans="1:153" s="354" customFormat="1" ht="12.75" customHeight="1">
      <c r="A155" s="343"/>
      <c r="B155" s="344"/>
      <c r="C155" s="345"/>
      <c r="D155" s="345"/>
      <c r="E155" s="345"/>
      <c r="F155" s="345"/>
      <c r="G155" s="345"/>
      <c r="H155" s="346"/>
      <c r="I155" s="346"/>
      <c r="J155" s="346"/>
      <c r="K155" s="346"/>
      <c r="L155" s="345"/>
      <c r="M155" s="345"/>
      <c r="N155" s="347"/>
      <c r="O155" s="347"/>
      <c r="P155" s="347"/>
      <c r="Q155" s="347"/>
      <c r="R155" s="347"/>
      <c r="S155" s="347"/>
      <c r="T155" s="347"/>
      <c r="U155" s="347"/>
      <c r="V155" s="347"/>
      <c r="W155" s="347"/>
      <c r="X155" s="347"/>
      <c r="Y155" s="347"/>
      <c r="Z155" s="347"/>
      <c r="AA155" s="347"/>
      <c r="AB155" s="347"/>
      <c r="AC155" s="716"/>
      <c r="AD155" s="348"/>
      <c r="AE155" s="348"/>
      <c r="AF155" s="348"/>
      <c r="AG155" s="349"/>
      <c r="AH155" s="350"/>
      <c r="AI155" s="350"/>
      <c r="AJ155" s="350"/>
      <c r="AK155" s="350"/>
      <c r="AL155" s="350"/>
      <c r="AM155" s="350"/>
      <c r="AN155" s="349"/>
      <c r="AO155" s="349"/>
      <c r="AP155" s="349"/>
      <c r="AQ155" s="349"/>
      <c r="AR155" s="349"/>
      <c r="AS155" s="349"/>
      <c r="AT155" s="349"/>
      <c r="AU155" s="349"/>
      <c r="AV155" s="349"/>
      <c r="AW155" s="349"/>
      <c r="AX155" s="349"/>
      <c r="AY155" s="349"/>
      <c r="AZ155" s="349"/>
      <c r="BA155" s="349"/>
      <c r="BB155" s="349"/>
      <c r="BC155" s="349"/>
      <c r="BD155" s="351"/>
      <c r="BE155" s="351"/>
      <c r="BF155" s="351"/>
      <c r="BG155" s="351"/>
      <c r="BH155" s="351"/>
      <c r="BI155" s="351"/>
      <c r="BJ155" s="351"/>
      <c r="BK155" s="351"/>
      <c r="BL155" s="351"/>
      <c r="BM155" s="351"/>
      <c r="BN155" s="351"/>
      <c r="BO155" s="351"/>
      <c r="BP155" s="351"/>
      <c r="BQ155" s="351"/>
      <c r="BR155" s="351"/>
      <c r="BS155" s="351"/>
      <c r="BT155" s="351"/>
      <c r="BU155" s="351"/>
      <c r="BV155" s="351"/>
      <c r="BW155" s="351"/>
      <c r="BX155" s="351"/>
      <c r="BY155" s="351"/>
      <c r="BZ155" s="351"/>
      <c r="CA155" s="351"/>
      <c r="CB155" s="351"/>
      <c r="CC155" s="351"/>
      <c r="CD155" s="351"/>
      <c r="CE155" s="351"/>
      <c r="CF155" s="351"/>
      <c r="CG155" s="351"/>
      <c r="CH155" s="351"/>
      <c r="CI155" s="351"/>
      <c r="CJ155" s="351"/>
      <c r="CK155" s="351"/>
      <c r="CL155" s="351"/>
      <c r="CM155" s="351"/>
      <c r="CN155" s="351"/>
      <c r="CO155" s="351"/>
      <c r="CP155" s="351"/>
      <c r="CQ155" s="351"/>
      <c r="CR155" s="351"/>
      <c r="CS155" s="351"/>
      <c r="CT155" s="351"/>
      <c r="CU155" s="351"/>
      <c r="CV155" s="351"/>
      <c r="CW155" s="351"/>
      <c r="CX155" s="351"/>
      <c r="CY155" s="351"/>
      <c r="CZ155" s="351"/>
      <c r="DA155" s="351"/>
      <c r="DB155" s="351"/>
      <c r="DC155" s="351"/>
      <c r="DD155" s="351"/>
      <c r="DE155" s="351"/>
      <c r="DF155" s="351"/>
      <c r="DG155" s="351"/>
      <c r="DH155" s="351"/>
      <c r="DI155" s="351"/>
      <c r="DJ155" s="351"/>
      <c r="DK155" s="351"/>
      <c r="DL155" s="351"/>
      <c r="DM155" s="351"/>
      <c r="DN155" s="351"/>
      <c r="DO155" s="351"/>
      <c r="DP155" s="351"/>
      <c r="DQ155" s="351"/>
      <c r="DR155" s="351"/>
      <c r="DS155" s="351"/>
      <c r="DT155" s="351"/>
      <c r="DU155" s="351"/>
      <c r="DV155" s="351"/>
      <c r="DW155" s="351"/>
      <c r="DX155" s="351"/>
      <c r="DY155" s="351"/>
      <c r="DZ155" s="351"/>
      <c r="EA155" s="351"/>
      <c r="EB155" s="351"/>
      <c r="EC155" s="351"/>
      <c r="ED155" s="351"/>
      <c r="EE155" s="351"/>
      <c r="EF155" s="351"/>
      <c r="EG155" s="351"/>
      <c r="EH155" s="351"/>
      <c r="EI155" s="351"/>
      <c r="EJ155" s="351"/>
      <c r="EK155" s="351"/>
      <c r="EL155" s="351"/>
      <c r="EM155" s="351"/>
      <c r="EN155" s="351"/>
      <c r="EO155" s="353"/>
      <c r="EP155" s="353"/>
      <c r="EQ155" s="353"/>
      <c r="ER155" s="353"/>
      <c r="ES155" s="353"/>
      <c r="ET155" s="353"/>
      <c r="EU155" s="353"/>
      <c r="EV155" s="353"/>
      <c r="EW155" s="353"/>
    </row>
    <row r="156" spans="1:153" ht="12.75" customHeight="1">
      <c r="B156" s="355"/>
      <c r="C156" s="639"/>
      <c r="D156" s="639"/>
      <c r="E156" s="639"/>
      <c r="F156" s="639"/>
      <c r="G156" s="639"/>
      <c r="H156" s="356"/>
      <c r="I156" s="356"/>
      <c r="J156" s="356"/>
      <c r="K156" s="356"/>
      <c r="L156" s="639"/>
      <c r="M156" s="639"/>
      <c r="N156" s="336"/>
      <c r="O156" s="336"/>
      <c r="P156" s="336"/>
      <c r="Q156" s="336"/>
      <c r="R156" s="336"/>
      <c r="S156" s="336"/>
      <c r="T156" s="336"/>
      <c r="U156" s="336"/>
      <c r="V156" s="336"/>
      <c r="W156" s="336"/>
      <c r="X156" s="336"/>
      <c r="Y156" s="336"/>
      <c r="Z156" s="336"/>
      <c r="AA156" s="336"/>
      <c r="AB156" s="635"/>
      <c r="AC156" s="722"/>
      <c r="AD156" s="339"/>
      <c r="AE156" s="339"/>
      <c r="AF156" s="339"/>
    </row>
    <row r="157" spans="1:153" ht="34.5" customHeight="1">
      <c r="B157" s="703" t="s">
        <v>616</v>
      </c>
      <c r="AB157" s="635"/>
      <c r="AC157" s="712"/>
      <c r="EO157" s="633"/>
      <c r="EP157" s="633"/>
      <c r="EQ157" s="633"/>
      <c r="ER157" s="633"/>
      <c r="ES157" s="633"/>
      <c r="ET157" s="633"/>
      <c r="EU157" s="633"/>
      <c r="EV157" s="633"/>
      <c r="EW157" s="633"/>
    </row>
    <row r="158" spans="1:153" ht="20.25" customHeight="1">
      <c r="B158" s="304" t="s">
        <v>254</v>
      </c>
      <c r="C158" s="637" t="s">
        <v>617</v>
      </c>
      <c r="EO158" s="633"/>
      <c r="EP158" s="633"/>
      <c r="EQ158" s="633"/>
      <c r="ER158" s="633"/>
      <c r="ES158" s="633"/>
      <c r="ET158" s="633"/>
      <c r="EU158" s="633"/>
      <c r="EV158" s="633"/>
      <c r="EW158" s="633"/>
    </row>
    <row r="159" spans="1:153" ht="20.25" customHeight="1">
      <c r="B159" s="304" t="s">
        <v>254</v>
      </c>
      <c r="C159" s="637" t="s">
        <v>618</v>
      </c>
      <c r="EO159" s="633"/>
      <c r="EP159" s="633"/>
      <c r="EQ159" s="633"/>
      <c r="ER159" s="633"/>
      <c r="ES159" s="633"/>
      <c r="ET159" s="633"/>
      <c r="EU159" s="633"/>
      <c r="EV159" s="633"/>
      <c r="EW159" s="633"/>
    </row>
    <row r="160" spans="1:153" ht="20.25" customHeight="1">
      <c r="B160" s="304" t="s">
        <v>254</v>
      </c>
      <c r="C160" s="637" t="s">
        <v>619</v>
      </c>
      <c r="EO160" s="633"/>
      <c r="EP160" s="633"/>
      <c r="EQ160" s="633"/>
      <c r="ER160" s="633"/>
      <c r="ES160" s="633"/>
      <c r="ET160" s="633"/>
      <c r="EU160" s="633"/>
      <c r="EV160" s="633"/>
      <c r="EW160" s="633"/>
    </row>
    <row r="161" spans="2:153" ht="20.25" customHeight="1">
      <c r="B161" s="304" t="s">
        <v>254</v>
      </c>
      <c r="C161" s="637" t="s">
        <v>620</v>
      </c>
      <c r="EO161" s="633"/>
      <c r="EP161" s="633"/>
      <c r="EQ161" s="633"/>
      <c r="ER161" s="633"/>
      <c r="ES161" s="633"/>
      <c r="ET161" s="633"/>
      <c r="EU161" s="633"/>
      <c r="EV161" s="633"/>
      <c r="EW161" s="633"/>
    </row>
    <row r="162" spans="2:153" ht="20.25" customHeight="1">
      <c r="B162" s="304" t="s">
        <v>254</v>
      </c>
      <c r="C162" s="637" t="s">
        <v>621</v>
      </c>
      <c r="EO162" s="633"/>
      <c r="EP162" s="633"/>
      <c r="EQ162" s="633"/>
      <c r="ER162" s="633"/>
      <c r="ES162" s="633"/>
      <c r="ET162" s="633"/>
      <c r="EU162" s="633"/>
      <c r="EV162" s="633"/>
      <c r="EW162" s="633"/>
    </row>
    <row r="163" spans="2:153" ht="20.25" customHeight="1">
      <c r="B163" s="304" t="s">
        <v>254</v>
      </c>
      <c r="C163" s="637" t="s">
        <v>622</v>
      </c>
      <c r="EO163" s="633"/>
      <c r="EP163" s="633"/>
      <c r="EQ163" s="633"/>
      <c r="ER163" s="633"/>
      <c r="ES163" s="633"/>
      <c r="ET163" s="633"/>
      <c r="EU163" s="633"/>
      <c r="EV163" s="633"/>
      <c r="EW163" s="633"/>
    </row>
    <row r="164" spans="2:153" ht="20.25" customHeight="1">
      <c r="B164" s="304" t="s">
        <v>254</v>
      </c>
      <c r="C164" s="637" t="s">
        <v>623</v>
      </c>
      <c r="EO164" s="633"/>
      <c r="EP164" s="633"/>
      <c r="EQ164" s="633"/>
      <c r="ER164" s="633"/>
      <c r="ES164" s="633"/>
      <c r="ET164" s="633"/>
      <c r="EU164" s="633"/>
      <c r="EV164" s="633"/>
      <c r="EW164" s="633"/>
    </row>
    <row r="165" spans="2:153" ht="20.25" customHeight="1">
      <c r="B165" s="304" t="s">
        <v>254</v>
      </c>
      <c r="C165" s="637" t="s">
        <v>624</v>
      </c>
      <c r="EO165" s="633"/>
      <c r="EP165" s="633"/>
      <c r="EQ165" s="633"/>
      <c r="ER165" s="633"/>
      <c r="ES165" s="633"/>
      <c r="ET165" s="633"/>
      <c r="EU165" s="633"/>
      <c r="EV165" s="633"/>
      <c r="EW165" s="633"/>
    </row>
    <row r="166" spans="2:153" ht="20.25" customHeight="1">
      <c r="B166" s="304" t="s">
        <v>254</v>
      </c>
      <c r="C166" s="637" t="s">
        <v>625</v>
      </c>
      <c r="EO166" s="633"/>
      <c r="EP166" s="633"/>
      <c r="EQ166" s="633"/>
      <c r="ER166" s="633"/>
      <c r="ES166" s="633"/>
      <c r="ET166" s="633"/>
      <c r="EU166" s="633"/>
      <c r="EV166" s="633"/>
      <c r="EW166" s="633"/>
    </row>
    <row r="167" spans="2:153" ht="20.25" customHeight="1">
      <c r="B167" s="304" t="s">
        <v>254</v>
      </c>
      <c r="C167" s="637" t="s">
        <v>626</v>
      </c>
      <c r="EO167" s="633"/>
      <c r="EP167" s="633"/>
      <c r="EQ167" s="633"/>
      <c r="ER167" s="633"/>
      <c r="ES167" s="633"/>
      <c r="ET167" s="633"/>
      <c r="EU167" s="633"/>
      <c r="EV167" s="633"/>
      <c r="EW167" s="633"/>
    </row>
    <row r="168" spans="2:153" ht="20.25" customHeight="1">
      <c r="B168" s="304" t="s">
        <v>254</v>
      </c>
      <c r="C168" s="637" t="s">
        <v>627</v>
      </c>
      <c r="EO168" s="633"/>
      <c r="EP168" s="633"/>
      <c r="EQ168" s="633"/>
      <c r="ER168" s="633"/>
      <c r="ES168" s="633"/>
      <c r="ET168" s="633"/>
      <c r="EU168" s="633"/>
      <c r="EV168" s="633"/>
      <c r="EW168" s="633"/>
    </row>
    <row r="169" spans="2:153" ht="20.25" customHeight="1">
      <c r="B169" s="304" t="s">
        <v>254</v>
      </c>
      <c r="C169" s="637" t="s">
        <v>628</v>
      </c>
      <c r="T169" s="336"/>
      <c r="U169" s="336"/>
      <c r="V169" s="336"/>
      <c r="W169" s="336"/>
      <c r="X169" s="336"/>
      <c r="Y169" s="336"/>
      <c r="Z169" s="336"/>
      <c r="AA169" s="336"/>
      <c r="AC169" s="339"/>
      <c r="AD169" s="339"/>
      <c r="AE169" s="339"/>
      <c r="AF169" s="339"/>
    </row>
    <row r="170" spans="2:153" ht="12.75" hidden="1" customHeight="1">
      <c r="B170" s="355"/>
      <c r="C170" s="639"/>
      <c r="D170" s="639"/>
      <c r="E170" s="639"/>
      <c r="F170" s="639"/>
      <c r="G170" s="639"/>
      <c r="H170" s="357"/>
      <c r="I170" s="357"/>
      <c r="J170" s="357"/>
      <c r="K170" s="357"/>
      <c r="L170" s="639"/>
      <c r="M170" s="639"/>
      <c r="N170" s="336"/>
      <c r="O170" s="336"/>
      <c r="P170" s="336"/>
      <c r="Q170" s="336"/>
      <c r="R170" s="336"/>
      <c r="S170" s="336"/>
      <c r="T170" s="336"/>
      <c r="U170" s="336"/>
      <c r="V170" s="336"/>
      <c r="W170" s="336"/>
      <c r="X170" s="336"/>
      <c r="Y170" s="336"/>
      <c r="Z170" s="336"/>
      <c r="AA170" s="336"/>
      <c r="AC170" s="339"/>
      <c r="AD170" s="339"/>
      <c r="AE170" s="339"/>
      <c r="AF170" s="339"/>
    </row>
    <row r="171" spans="2:153" ht="12.75" hidden="1" customHeight="1">
      <c r="B171" s="355"/>
      <c r="C171" s="639"/>
      <c r="D171" s="639"/>
      <c r="E171" s="639"/>
      <c r="F171" s="639"/>
      <c r="G171" s="639"/>
      <c r="H171" s="357"/>
      <c r="I171" s="357"/>
      <c r="J171" s="357"/>
      <c r="K171" s="357"/>
      <c r="L171" s="639"/>
      <c r="M171" s="639"/>
      <c r="N171" s="336"/>
      <c r="O171" s="336"/>
      <c r="P171" s="336"/>
      <c r="Q171" s="336"/>
      <c r="R171" s="336"/>
      <c r="S171" s="336"/>
      <c r="T171" s="336"/>
      <c r="U171" s="336"/>
      <c r="V171" s="336"/>
      <c r="W171" s="336"/>
      <c r="X171" s="336"/>
      <c r="Y171" s="336"/>
      <c r="Z171" s="336"/>
      <c r="AA171" s="336"/>
      <c r="AC171" s="339"/>
      <c r="AD171" s="339"/>
      <c r="AE171" s="339"/>
      <c r="AF171" s="339"/>
    </row>
    <row r="172" spans="2:153" ht="12.75" hidden="1" customHeight="1">
      <c r="B172" s="355"/>
      <c r="C172" s="639"/>
      <c r="D172" s="639"/>
      <c r="E172" s="639"/>
      <c r="F172" s="639"/>
      <c r="G172" s="639"/>
      <c r="H172" s="357"/>
      <c r="I172" s="357"/>
      <c r="J172" s="357"/>
      <c r="K172" s="357"/>
      <c r="L172" s="639"/>
      <c r="M172" s="639"/>
      <c r="N172" s="336"/>
      <c r="O172" s="336"/>
      <c r="P172" s="336"/>
      <c r="Q172" s="336"/>
      <c r="R172" s="336"/>
      <c r="S172" s="336"/>
      <c r="T172" s="336"/>
      <c r="U172" s="336"/>
      <c r="V172" s="336"/>
      <c r="W172" s="336"/>
      <c r="X172" s="336"/>
      <c r="Y172" s="336"/>
      <c r="Z172" s="336"/>
      <c r="AA172" s="336"/>
      <c r="AC172" s="339"/>
      <c r="AD172" s="339"/>
      <c r="AE172" s="339"/>
      <c r="AF172" s="339"/>
    </row>
    <row r="173" spans="2:153" ht="12.75" hidden="1" customHeight="1">
      <c r="B173" s="355"/>
      <c r="C173" s="639"/>
      <c r="D173" s="639"/>
      <c r="E173" s="639"/>
      <c r="F173" s="639"/>
      <c r="G173" s="639"/>
      <c r="H173" s="357"/>
      <c r="I173" s="357"/>
      <c r="J173" s="357"/>
      <c r="K173" s="357"/>
      <c r="L173" s="639"/>
      <c r="M173" s="639"/>
      <c r="N173" s="336"/>
      <c r="O173" s="336"/>
      <c r="P173" s="336"/>
      <c r="Q173" s="336"/>
      <c r="R173" s="336"/>
      <c r="S173" s="336"/>
      <c r="T173" s="336"/>
      <c r="U173" s="336"/>
      <c r="V173" s="336"/>
      <c r="W173" s="336"/>
      <c r="X173" s="336"/>
      <c r="Y173" s="336"/>
      <c r="Z173" s="336"/>
      <c r="AA173" s="336"/>
      <c r="AC173" s="339"/>
      <c r="AD173" s="339"/>
      <c r="AE173" s="339"/>
      <c r="AF173" s="339"/>
    </row>
    <row r="174" spans="2:153" ht="12.75" hidden="1" customHeight="1">
      <c r="B174" s="355"/>
      <c r="C174" s="639"/>
      <c r="D174" s="639"/>
      <c r="E174" s="639"/>
      <c r="F174" s="639"/>
      <c r="G174" s="639"/>
      <c r="H174" s="357"/>
      <c r="I174" s="357"/>
      <c r="J174" s="357"/>
      <c r="K174" s="357"/>
      <c r="L174" s="639"/>
      <c r="M174" s="639"/>
      <c r="N174" s="336"/>
      <c r="O174" s="336"/>
      <c r="P174" s="336"/>
      <c r="Q174" s="336"/>
      <c r="R174" s="336"/>
      <c r="S174" s="336"/>
      <c r="T174" s="336"/>
      <c r="U174" s="336"/>
      <c r="V174" s="336"/>
      <c r="W174" s="336"/>
      <c r="X174" s="336"/>
      <c r="Y174" s="336"/>
      <c r="Z174" s="336"/>
      <c r="AA174" s="336"/>
      <c r="AC174" s="339"/>
      <c r="AD174" s="339"/>
      <c r="AE174" s="339"/>
      <c r="AF174" s="339"/>
    </row>
    <row r="175" spans="2:153" ht="12.75" hidden="1" customHeight="1">
      <c r="B175" s="355"/>
      <c r="C175" s="639"/>
      <c r="D175" s="639"/>
      <c r="E175" s="639"/>
      <c r="F175" s="639"/>
      <c r="G175" s="639"/>
      <c r="H175" s="357"/>
      <c r="I175" s="357"/>
      <c r="J175" s="357"/>
      <c r="K175" s="357"/>
      <c r="L175" s="639"/>
      <c r="M175" s="639"/>
      <c r="N175" s="336"/>
      <c r="O175" s="336"/>
      <c r="P175" s="336"/>
      <c r="Q175" s="336"/>
      <c r="R175" s="336"/>
      <c r="S175" s="336"/>
      <c r="T175" s="336"/>
      <c r="U175" s="336"/>
      <c r="V175" s="336"/>
      <c r="W175" s="336"/>
      <c r="X175" s="336"/>
      <c r="Y175" s="336"/>
      <c r="Z175" s="336"/>
      <c r="AA175" s="336"/>
      <c r="AC175" s="339"/>
      <c r="AD175" s="339"/>
      <c r="AE175" s="339"/>
      <c r="AF175" s="339"/>
    </row>
    <row r="176" spans="2:153" ht="12.75" hidden="1" customHeight="1">
      <c r="B176" s="355"/>
      <c r="C176" s="639"/>
      <c r="D176" s="639"/>
      <c r="E176" s="639"/>
      <c r="F176" s="639"/>
      <c r="G176" s="639"/>
      <c r="H176" s="357"/>
      <c r="I176" s="357"/>
      <c r="J176" s="357"/>
      <c r="K176" s="357"/>
      <c r="L176" s="639"/>
      <c r="M176" s="639"/>
      <c r="N176" s="336"/>
      <c r="O176" s="336"/>
      <c r="P176" s="336"/>
      <c r="Q176" s="336"/>
      <c r="R176" s="336"/>
      <c r="S176" s="336"/>
      <c r="T176" s="336"/>
      <c r="U176" s="336"/>
      <c r="V176" s="336"/>
      <c r="W176" s="336"/>
      <c r="X176" s="336"/>
      <c r="Y176" s="336"/>
      <c r="Z176" s="336"/>
      <c r="AA176" s="336"/>
      <c r="AC176" s="339"/>
      <c r="AD176" s="339"/>
      <c r="AE176" s="339"/>
      <c r="AF176" s="339"/>
    </row>
    <row r="177" spans="1:153" ht="12.75" hidden="1" customHeight="1">
      <c r="B177" s="355"/>
      <c r="C177" s="639"/>
      <c r="D177" s="639"/>
      <c r="E177" s="639"/>
      <c r="F177" s="639"/>
      <c r="G177" s="639"/>
      <c r="H177" s="357"/>
      <c r="I177" s="357"/>
      <c r="J177" s="357"/>
      <c r="K177" s="357"/>
      <c r="L177" s="639"/>
      <c r="M177" s="639"/>
      <c r="N177" s="336"/>
      <c r="O177" s="336"/>
      <c r="P177" s="336"/>
      <c r="Q177" s="336"/>
      <c r="R177" s="336"/>
      <c r="S177" s="336"/>
      <c r="T177" s="336"/>
      <c r="U177" s="336"/>
      <c r="V177" s="336"/>
      <c r="W177" s="336"/>
      <c r="X177" s="336"/>
      <c r="Y177" s="336"/>
      <c r="Z177" s="336"/>
      <c r="AA177" s="336"/>
      <c r="AC177" s="339"/>
      <c r="AD177" s="339"/>
      <c r="AE177" s="339"/>
      <c r="AF177" s="339"/>
    </row>
    <row r="178" spans="1:153" s="636" customFormat="1" ht="12.75" customHeight="1" thickBot="1">
      <c r="A178" s="303"/>
      <c r="B178" s="723"/>
      <c r="AB178" s="638"/>
      <c r="AC178" s="630"/>
      <c r="AD178" s="630"/>
      <c r="AE178" s="630"/>
      <c r="AF178" s="630"/>
      <c r="AG178" s="631"/>
      <c r="AH178" s="632"/>
      <c r="AI178" s="632"/>
      <c r="AJ178" s="632"/>
      <c r="AK178" s="632"/>
      <c r="AL178" s="632"/>
      <c r="AM178" s="632"/>
      <c r="AN178" s="631"/>
      <c r="AO178" s="631"/>
      <c r="AP178" s="631"/>
      <c r="AQ178" s="631"/>
      <c r="AR178" s="631"/>
      <c r="AS178" s="631"/>
      <c r="AT178" s="631"/>
      <c r="AU178" s="631"/>
      <c r="AV178" s="631"/>
      <c r="AW178" s="631"/>
      <c r="AX178" s="631"/>
      <c r="AY178" s="631"/>
      <c r="AZ178" s="631"/>
      <c r="BA178" s="631"/>
      <c r="BB178" s="631"/>
      <c r="BC178" s="631"/>
      <c r="BD178" s="633"/>
      <c r="BE178" s="633"/>
      <c r="BF178" s="633"/>
      <c r="BG178" s="633"/>
      <c r="BH178" s="633"/>
      <c r="BI178" s="633"/>
      <c r="BJ178" s="633"/>
      <c r="BK178" s="633"/>
      <c r="BL178" s="633"/>
      <c r="BM178" s="633"/>
      <c r="BN178" s="633"/>
      <c r="BO178" s="633"/>
      <c r="BP178" s="633"/>
      <c r="BQ178" s="633"/>
      <c r="BR178" s="633"/>
      <c r="BS178" s="633"/>
      <c r="BT178" s="633"/>
      <c r="BU178" s="633"/>
      <c r="BV178" s="633"/>
      <c r="BW178" s="633"/>
      <c r="BX178" s="633"/>
      <c r="BY178" s="633"/>
      <c r="BZ178" s="633"/>
      <c r="CA178" s="633"/>
      <c r="CB178" s="633"/>
      <c r="CC178" s="633"/>
      <c r="CD178" s="633"/>
      <c r="CE178" s="633"/>
      <c r="CF178" s="633"/>
      <c r="CG178" s="633"/>
      <c r="CH178" s="633"/>
      <c r="CI178" s="633"/>
      <c r="CJ178" s="633"/>
      <c r="CK178" s="633"/>
      <c r="CL178" s="633"/>
      <c r="CM178" s="633"/>
      <c r="CN178" s="633"/>
      <c r="CO178" s="633"/>
      <c r="CP178" s="633"/>
      <c r="CQ178" s="633"/>
      <c r="CR178" s="633"/>
      <c r="CS178" s="633"/>
      <c r="CT178" s="633"/>
      <c r="CU178" s="633"/>
      <c r="CV178" s="633"/>
      <c r="CW178" s="633"/>
      <c r="CX178" s="633"/>
      <c r="CY178" s="633"/>
      <c r="CZ178" s="633"/>
      <c r="DA178" s="633"/>
      <c r="DB178" s="633"/>
      <c r="DC178" s="633"/>
      <c r="DD178" s="633"/>
      <c r="DE178" s="633"/>
      <c r="DF178" s="633"/>
      <c r="DG178" s="633"/>
      <c r="DH178" s="633"/>
      <c r="DI178" s="633"/>
      <c r="DJ178" s="633"/>
      <c r="DK178" s="633"/>
      <c r="DL178" s="633"/>
      <c r="DM178" s="633"/>
      <c r="DN178" s="633"/>
      <c r="DO178" s="633"/>
      <c r="DP178" s="633"/>
      <c r="DQ178" s="633"/>
      <c r="DR178" s="633"/>
      <c r="DS178" s="633"/>
      <c r="DT178" s="633"/>
      <c r="DU178" s="633"/>
      <c r="DV178" s="633"/>
      <c r="DW178" s="633"/>
      <c r="DX178" s="633"/>
      <c r="DY178" s="633"/>
      <c r="DZ178" s="633"/>
      <c r="EA178" s="633"/>
      <c r="EB178" s="633"/>
      <c r="EC178" s="633"/>
      <c r="ED178" s="633"/>
      <c r="EE178" s="633"/>
      <c r="EF178" s="633"/>
      <c r="EG178" s="633"/>
      <c r="EH178" s="633"/>
      <c r="EI178" s="633"/>
      <c r="EJ178" s="633"/>
      <c r="EK178" s="633"/>
      <c r="EL178" s="633"/>
      <c r="EM178" s="633"/>
      <c r="EN178" s="633"/>
      <c r="EO178" s="630"/>
      <c r="EP178" s="630"/>
      <c r="EQ178" s="630"/>
      <c r="ER178" s="630"/>
      <c r="ES178" s="630"/>
      <c r="ET178" s="630"/>
      <c r="EU178" s="630"/>
      <c r="EV178" s="630"/>
      <c r="EW178" s="630"/>
    </row>
    <row r="179" spans="1:153" hidden="1">
      <c r="B179" s="358"/>
    </row>
    <row r="180" spans="1:153" ht="34.5" hidden="1" customHeight="1">
      <c r="B180" s="359" t="s">
        <v>60</v>
      </c>
    </row>
    <row r="181" spans="1:153" hidden="1">
      <c r="B181" s="358"/>
      <c r="W181" s="639" t="s">
        <v>2</v>
      </c>
    </row>
    <row r="182" spans="1:153" hidden="1">
      <c r="B182" s="963">
        <f>Z17</f>
        <v>0</v>
      </c>
      <c r="C182" s="964"/>
      <c r="M182" s="967">
        <f>B182*200</f>
        <v>0</v>
      </c>
      <c r="N182" s="968"/>
      <c r="O182" s="968"/>
      <c r="P182" s="968"/>
      <c r="Q182" s="969"/>
    </row>
    <row r="183" spans="1:153" ht="13.5" hidden="1" thickBot="1">
      <c r="B183" s="965"/>
      <c r="C183" s="966"/>
      <c r="E183" s="628" t="s">
        <v>61</v>
      </c>
      <c r="J183" s="628" t="s">
        <v>2</v>
      </c>
      <c r="L183" s="628" t="s">
        <v>47</v>
      </c>
      <c r="M183" s="970"/>
      <c r="N183" s="971"/>
      <c r="O183" s="971"/>
      <c r="P183" s="971"/>
      <c r="Q183" s="972"/>
      <c r="S183" s="628" t="s">
        <v>69</v>
      </c>
    </row>
    <row r="184" spans="1:153" hidden="1">
      <c r="B184" s="358"/>
    </row>
    <row r="185" spans="1:153" ht="40.5" hidden="1" customHeight="1">
      <c r="B185" s="358" t="s">
        <v>62</v>
      </c>
      <c r="F185" s="973" t="str">
        <f>F8</f>
        <v xml:space="preserve"> </v>
      </c>
      <c r="G185" s="974"/>
      <c r="H185" s="974"/>
      <c r="I185" s="974"/>
      <c r="J185" s="974"/>
      <c r="K185" s="974"/>
      <c r="L185" s="974"/>
      <c r="M185" s="974"/>
      <c r="N185" s="974"/>
      <c r="O185" s="974"/>
      <c r="P185" s="974"/>
      <c r="Q185" s="975"/>
      <c r="S185" s="976" t="s">
        <v>69</v>
      </c>
      <c r="T185" s="977"/>
      <c r="U185" s="977"/>
      <c r="V185" s="977"/>
      <c r="W185" s="977"/>
      <c r="X185" s="977"/>
      <c r="Y185" s="977"/>
      <c r="Z185" s="977"/>
      <c r="AA185" s="978"/>
      <c r="AC185" s="360"/>
    </row>
    <row r="186" spans="1:153" hidden="1">
      <c r="B186" s="358"/>
      <c r="S186" s="979"/>
      <c r="T186" s="980"/>
      <c r="U186" s="980"/>
      <c r="V186" s="980"/>
      <c r="W186" s="980"/>
      <c r="X186" s="980"/>
      <c r="Y186" s="980"/>
      <c r="Z186" s="980"/>
      <c r="AA186" s="981"/>
      <c r="AC186" s="360"/>
    </row>
    <row r="187" spans="1:153" ht="13.5" hidden="1" thickBot="1">
      <c r="B187" s="358" t="s">
        <v>63</v>
      </c>
      <c r="F187" s="985" t="str">
        <f>F10</f>
        <v xml:space="preserve"> </v>
      </c>
      <c r="G187" s="986"/>
      <c r="H187" s="986"/>
      <c r="I187" s="986"/>
      <c r="J187" s="986"/>
      <c r="K187" s="986"/>
      <c r="L187" s="986"/>
      <c r="M187" s="986"/>
      <c r="N187" s="986"/>
      <c r="O187" s="986"/>
      <c r="P187" s="986"/>
      <c r="Q187" s="987"/>
      <c r="S187" s="979"/>
      <c r="T187" s="980"/>
      <c r="U187" s="980"/>
      <c r="V187" s="980"/>
      <c r="W187" s="980"/>
      <c r="X187" s="980"/>
      <c r="Y187" s="980"/>
      <c r="Z187" s="980"/>
      <c r="AA187" s="981"/>
      <c r="AC187" s="360"/>
    </row>
    <row r="188" spans="1:153" ht="13.5" hidden="1" thickBot="1">
      <c r="B188" s="358"/>
      <c r="F188" s="985" t="str">
        <f>F11</f>
        <v xml:space="preserve"> </v>
      </c>
      <c r="G188" s="986"/>
      <c r="H188" s="986"/>
      <c r="I188" s="986"/>
      <c r="J188" s="986"/>
      <c r="K188" s="986"/>
      <c r="L188" s="986"/>
      <c r="M188" s="986"/>
      <c r="N188" s="986"/>
      <c r="O188" s="986"/>
      <c r="P188" s="986"/>
      <c r="Q188" s="987"/>
      <c r="S188" s="979"/>
      <c r="T188" s="980"/>
      <c r="U188" s="980"/>
      <c r="V188" s="980"/>
      <c r="W188" s="980"/>
      <c r="X188" s="980"/>
      <c r="Y188" s="980"/>
      <c r="Z188" s="980"/>
      <c r="AA188" s="981"/>
      <c r="AC188" s="360"/>
    </row>
    <row r="189" spans="1:153" hidden="1">
      <c r="B189" s="358"/>
      <c r="S189" s="979"/>
      <c r="T189" s="980"/>
      <c r="U189" s="980"/>
      <c r="V189" s="980"/>
      <c r="W189" s="980"/>
      <c r="X189" s="980"/>
      <c r="Y189" s="980"/>
      <c r="Z189" s="980"/>
      <c r="AA189" s="981"/>
      <c r="AC189" s="360"/>
    </row>
    <row r="190" spans="1:153" ht="13.5" hidden="1" thickBot="1">
      <c r="B190" s="358" t="s">
        <v>64</v>
      </c>
      <c r="F190" s="985">
        <f>U8</f>
        <v>0</v>
      </c>
      <c r="G190" s="986"/>
      <c r="H190" s="986"/>
      <c r="I190" s="986"/>
      <c r="J190" s="986"/>
      <c r="K190" s="986"/>
      <c r="L190" s="986"/>
      <c r="M190" s="987"/>
      <c r="O190" s="985">
        <f>U11</f>
        <v>0</v>
      </c>
      <c r="P190" s="986"/>
      <c r="Q190" s="987"/>
      <c r="S190" s="979"/>
      <c r="T190" s="980"/>
      <c r="U190" s="980"/>
      <c r="V190" s="980"/>
      <c r="W190" s="980"/>
      <c r="X190" s="980"/>
      <c r="Y190" s="980"/>
      <c r="Z190" s="980"/>
      <c r="AA190" s="981"/>
      <c r="AC190" s="360"/>
    </row>
    <row r="191" spans="1:153" hidden="1">
      <c r="B191" s="358"/>
      <c r="S191" s="979"/>
      <c r="T191" s="980"/>
      <c r="U191" s="980"/>
      <c r="V191" s="980"/>
      <c r="W191" s="980"/>
      <c r="X191" s="980"/>
      <c r="Y191" s="980"/>
      <c r="Z191" s="980"/>
      <c r="AA191" s="981"/>
      <c r="AC191" s="360"/>
    </row>
    <row r="192" spans="1:153" ht="35.25" hidden="1" customHeight="1">
      <c r="B192" s="358" t="s">
        <v>65</v>
      </c>
      <c r="F192" s="988" t="str">
        <f>AD8</f>
        <v xml:space="preserve"> </v>
      </c>
      <c r="G192" s="989"/>
      <c r="H192" s="989"/>
      <c r="I192" s="989"/>
      <c r="J192" s="989"/>
      <c r="K192" s="989"/>
      <c r="L192" s="989"/>
      <c r="M192" s="989"/>
      <c r="N192" s="989"/>
      <c r="O192" s="989"/>
      <c r="P192" s="989"/>
      <c r="Q192" s="990"/>
      <c r="S192" s="979"/>
      <c r="T192" s="980"/>
      <c r="U192" s="980"/>
      <c r="V192" s="980"/>
      <c r="W192" s="980"/>
      <c r="X192" s="980"/>
      <c r="Y192" s="980"/>
      <c r="Z192" s="980"/>
      <c r="AA192" s="981"/>
      <c r="AC192" s="360"/>
    </row>
    <row r="193" spans="1:153" hidden="1">
      <c r="B193" s="358"/>
      <c r="S193" s="979"/>
      <c r="T193" s="980"/>
      <c r="U193" s="980"/>
      <c r="V193" s="980"/>
      <c r="W193" s="980"/>
      <c r="X193" s="980"/>
      <c r="Y193" s="980"/>
      <c r="Z193" s="980"/>
      <c r="AA193" s="981"/>
      <c r="AC193" s="360"/>
    </row>
    <row r="194" spans="1:153" ht="21.75" hidden="1" customHeight="1">
      <c r="B194" s="358" t="s">
        <v>66</v>
      </c>
      <c r="F194" s="985" t="str">
        <f>AD11</f>
        <v xml:space="preserve"> </v>
      </c>
      <c r="G194" s="986"/>
      <c r="H194" s="986"/>
      <c r="I194" s="986"/>
      <c r="J194" s="986"/>
      <c r="K194" s="986"/>
      <c r="L194" s="986"/>
      <c r="M194" s="986"/>
      <c r="N194" s="986"/>
      <c r="O194" s="986"/>
      <c r="P194" s="986"/>
      <c r="Q194" s="987"/>
      <c r="S194" s="979"/>
      <c r="T194" s="980"/>
      <c r="U194" s="980"/>
      <c r="V194" s="980"/>
      <c r="W194" s="980"/>
      <c r="X194" s="980"/>
      <c r="Y194" s="980"/>
      <c r="Z194" s="980"/>
      <c r="AA194" s="981"/>
      <c r="AC194" s="360"/>
    </row>
    <row r="195" spans="1:153" hidden="1">
      <c r="B195" s="358"/>
      <c r="S195" s="979"/>
      <c r="T195" s="980"/>
      <c r="U195" s="980"/>
      <c r="V195" s="980"/>
      <c r="W195" s="980"/>
      <c r="X195" s="980"/>
      <c r="Y195" s="980"/>
      <c r="Z195" s="980"/>
      <c r="AA195" s="981"/>
      <c r="AC195" s="360"/>
    </row>
    <row r="196" spans="1:153" ht="13.5" hidden="1" thickBot="1">
      <c r="B196" s="358" t="s">
        <v>67</v>
      </c>
      <c r="F196" s="985">
        <f>AD13</f>
        <v>0</v>
      </c>
      <c r="G196" s="986"/>
      <c r="H196" s="986"/>
      <c r="I196" s="986"/>
      <c r="J196" s="986"/>
      <c r="K196" s="986"/>
      <c r="L196" s="986"/>
      <c r="M196" s="986"/>
      <c r="N196" s="986"/>
      <c r="O196" s="986"/>
      <c r="P196" s="986"/>
      <c r="Q196" s="987"/>
      <c r="S196" s="979"/>
      <c r="T196" s="980"/>
      <c r="U196" s="980"/>
      <c r="V196" s="980"/>
      <c r="W196" s="980"/>
      <c r="X196" s="980"/>
      <c r="Y196" s="980"/>
      <c r="Z196" s="980"/>
      <c r="AA196" s="981"/>
      <c r="AC196" s="360"/>
    </row>
    <row r="197" spans="1:153" hidden="1">
      <c r="B197" s="358"/>
      <c r="S197" s="979"/>
      <c r="T197" s="980"/>
      <c r="U197" s="980"/>
      <c r="V197" s="980"/>
      <c r="W197" s="980"/>
      <c r="X197" s="980"/>
      <c r="Y197" s="980"/>
      <c r="Z197" s="980"/>
      <c r="AA197" s="981"/>
      <c r="AC197" s="360"/>
    </row>
    <row r="198" spans="1:153" ht="13.5" hidden="1" thickBot="1">
      <c r="B198" s="358" t="s">
        <v>68</v>
      </c>
      <c r="F198" s="985">
        <f>AD15</f>
        <v>0</v>
      </c>
      <c r="G198" s="986"/>
      <c r="H198" s="986"/>
      <c r="I198" s="986"/>
      <c r="J198" s="986"/>
      <c r="K198" s="986"/>
      <c r="L198" s="986"/>
      <c r="M198" s="986"/>
      <c r="N198" s="986"/>
      <c r="O198" s="986"/>
      <c r="P198" s="986"/>
      <c r="Q198" s="987"/>
      <c r="S198" s="979"/>
      <c r="T198" s="980"/>
      <c r="U198" s="980"/>
      <c r="V198" s="980"/>
      <c r="W198" s="980"/>
      <c r="X198" s="980"/>
      <c r="Y198" s="980"/>
      <c r="Z198" s="980"/>
      <c r="AA198" s="981"/>
      <c r="AC198" s="360"/>
    </row>
    <row r="199" spans="1:153" hidden="1">
      <c r="B199" s="358"/>
      <c r="S199" s="979"/>
      <c r="T199" s="980"/>
      <c r="U199" s="980"/>
      <c r="V199" s="980"/>
      <c r="W199" s="980"/>
      <c r="X199" s="980"/>
      <c r="Y199" s="980"/>
      <c r="Z199" s="980"/>
      <c r="AA199" s="981"/>
      <c r="AC199" s="360"/>
    </row>
    <row r="200" spans="1:153" ht="13.5" hidden="1" customHeight="1">
      <c r="B200" s="358"/>
      <c r="S200" s="979"/>
      <c r="T200" s="980"/>
      <c r="U200" s="980"/>
      <c r="V200" s="980"/>
      <c r="W200" s="980"/>
      <c r="X200" s="980"/>
      <c r="Y200" s="980"/>
      <c r="Z200" s="980"/>
      <c r="AA200" s="981"/>
      <c r="AC200" s="360"/>
    </row>
    <row r="201" spans="1:153" s="637" customFormat="1" ht="60.75" hidden="1" customHeight="1">
      <c r="A201" s="274"/>
      <c r="B201" s="361" t="s">
        <v>11</v>
      </c>
      <c r="C201" s="362" t="s">
        <v>12</v>
      </c>
      <c r="D201" s="991" t="s">
        <v>13</v>
      </c>
      <c r="E201" s="992"/>
      <c r="F201" s="993"/>
      <c r="G201" s="991" t="s">
        <v>14</v>
      </c>
      <c r="H201" s="992"/>
      <c r="I201" s="993"/>
      <c r="J201" s="991" t="s">
        <v>15</v>
      </c>
      <c r="K201" s="992"/>
      <c r="L201" s="993"/>
      <c r="M201" s="991" t="s">
        <v>16</v>
      </c>
      <c r="N201" s="992"/>
      <c r="O201" s="993"/>
      <c r="P201" s="991" t="s">
        <v>17</v>
      </c>
      <c r="Q201" s="993"/>
      <c r="S201" s="979"/>
      <c r="T201" s="980"/>
      <c r="U201" s="980"/>
      <c r="V201" s="980"/>
      <c r="W201" s="980"/>
      <c r="X201" s="980"/>
      <c r="Y201" s="980"/>
      <c r="Z201" s="980"/>
      <c r="AA201" s="981"/>
      <c r="AB201" s="629"/>
      <c r="AC201" s="360"/>
      <c r="AD201" s="262"/>
      <c r="AE201" s="262"/>
      <c r="AF201" s="262"/>
      <c r="AG201" s="279"/>
      <c r="AH201" s="279"/>
      <c r="AI201" s="279"/>
      <c r="AJ201" s="279"/>
      <c r="AK201" s="279"/>
      <c r="AL201" s="279"/>
      <c r="AM201" s="279"/>
      <c r="AN201" s="279"/>
      <c r="AO201" s="279"/>
      <c r="AP201" s="279"/>
      <c r="AQ201" s="279"/>
      <c r="AR201" s="279"/>
      <c r="AS201" s="279"/>
      <c r="AT201" s="279"/>
      <c r="AU201" s="279"/>
      <c r="AV201" s="279"/>
      <c r="AW201" s="279"/>
      <c r="AX201" s="279"/>
      <c r="AY201" s="279"/>
      <c r="AZ201" s="279"/>
      <c r="BA201" s="279"/>
      <c r="BB201" s="279"/>
      <c r="BC201" s="279"/>
      <c r="BD201" s="281"/>
      <c r="BE201" s="281"/>
      <c r="BF201" s="281"/>
      <c r="BG201" s="281"/>
      <c r="BH201" s="281"/>
      <c r="BI201" s="281"/>
      <c r="BJ201" s="281"/>
      <c r="BK201" s="281"/>
      <c r="BL201" s="281"/>
      <c r="BM201" s="281"/>
      <c r="BN201" s="281"/>
      <c r="BO201" s="281"/>
      <c r="BP201" s="281"/>
      <c r="BQ201" s="281"/>
      <c r="BR201" s="281"/>
      <c r="BS201" s="281"/>
      <c r="BT201" s="281"/>
      <c r="BU201" s="281"/>
      <c r="BV201" s="281"/>
      <c r="BW201" s="281"/>
      <c r="BX201" s="281"/>
      <c r="BY201" s="281"/>
      <c r="BZ201" s="281"/>
      <c r="CA201" s="281"/>
      <c r="CB201" s="281"/>
      <c r="CC201" s="281"/>
      <c r="CD201" s="281"/>
      <c r="CE201" s="281"/>
      <c r="CF201" s="281"/>
      <c r="CG201" s="281"/>
      <c r="CH201" s="281"/>
      <c r="CI201" s="281"/>
      <c r="CJ201" s="281"/>
      <c r="CK201" s="281"/>
      <c r="CL201" s="281"/>
      <c r="CM201" s="281"/>
      <c r="CN201" s="281"/>
      <c r="CO201" s="281"/>
      <c r="CP201" s="281"/>
      <c r="CQ201" s="281"/>
      <c r="CR201" s="281"/>
      <c r="CS201" s="281"/>
      <c r="CT201" s="281"/>
      <c r="CU201" s="281"/>
      <c r="CV201" s="281"/>
      <c r="CW201" s="281"/>
      <c r="CX201" s="281"/>
      <c r="CY201" s="281"/>
      <c r="CZ201" s="281"/>
      <c r="DA201" s="281"/>
      <c r="DB201" s="281"/>
      <c r="DC201" s="281"/>
      <c r="DD201" s="281"/>
      <c r="DE201" s="281"/>
      <c r="DF201" s="281"/>
      <c r="DG201" s="281"/>
      <c r="DH201" s="281"/>
      <c r="DI201" s="281"/>
      <c r="DJ201" s="281"/>
      <c r="DK201" s="281"/>
      <c r="DL201" s="281"/>
      <c r="DM201" s="281"/>
      <c r="DN201" s="281"/>
      <c r="DO201" s="281"/>
      <c r="DP201" s="281"/>
      <c r="DQ201" s="281"/>
      <c r="DR201" s="281"/>
      <c r="DS201" s="281"/>
      <c r="DT201" s="281"/>
      <c r="DU201" s="281"/>
      <c r="DV201" s="281"/>
      <c r="DW201" s="281"/>
      <c r="DX201" s="281"/>
      <c r="DY201" s="281"/>
      <c r="DZ201" s="281"/>
      <c r="EA201" s="281"/>
      <c r="EB201" s="281"/>
      <c r="EC201" s="281"/>
      <c r="ED201" s="281"/>
      <c r="EE201" s="281"/>
      <c r="EF201" s="281"/>
      <c r="EG201" s="281"/>
      <c r="EH201" s="281"/>
      <c r="EI201" s="281"/>
      <c r="EJ201" s="281"/>
      <c r="EK201" s="281"/>
      <c r="EL201" s="281"/>
      <c r="EM201" s="281"/>
      <c r="EN201" s="281"/>
      <c r="EO201" s="262"/>
      <c r="EP201" s="262"/>
      <c r="EQ201" s="262"/>
      <c r="ER201" s="262"/>
      <c r="ES201" s="262"/>
      <c r="ET201" s="262"/>
      <c r="EU201" s="262"/>
      <c r="EV201" s="262"/>
      <c r="EW201" s="262"/>
    </row>
    <row r="202" spans="1:153" ht="6" hidden="1" customHeight="1">
      <c r="B202" s="363"/>
      <c r="C202" s="628" t="s">
        <v>2</v>
      </c>
      <c r="M202" s="628" t="s">
        <v>2</v>
      </c>
      <c r="N202" s="628" t="s">
        <v>2</v>
      </c>
      <c r="S202" s="979"/>
      <c r="T202" s="980"/>
      <c r="U202" s="980"/>
      <c r="V202" s="980"/>
      <c r="W202" s="980"/>
      <c r="X202" s="980"/>
      <c r="Y202" s="980"/>
      <c r="Z202" s="980"/>
      <c r="AA202" s="981"/>
      <c r="AC202" s="360"/>
      <c r="AH202" s="631"/>
      <c r="AI202" s="631"/>
      <c r="AJ202" s="631"/>
      <c r="AK202" s="631"/>
      <c r="AL202" s="631"/>
      <c r="AM202" s="631"/>
    </row>
    <row r="203" spans="1:153" hidden="1">
      <c r="B203" s="361">
        <v>1</v>
      </c>
      <c r="C203" s="364"/>
      <c r="D203" s="950"/>
      <c r="E203" s="951"/>
      <c r="F203" s="952"/>
      <c r="G203" s="950"/>
      <c r="H203" s="951"/>
      <c r="I203" s="952"/>
      <c r="J203" s="953"/>
      <c r="K203" s="954"/>
      <c r="L203" s="955"/>
      <c r="M203" s="950"/>
      <c r="N203" s="951"/>
      <c r="O203" s="952"/>
      <c r="P203" s="956"/>
      <c r="Q203" s="957"/>
      <c r="S203" s="979"/>
      <c r="T203" s="980"/>
      <c r="U203" s="980"/>
      <c r="V203" s="980"/>
      <c r="W203" s="980"/>
      <c r="X203" s="980"/>
      <c r="Y203" s="980"/>
      <c r="Z203" s="980"/>
      <c r="AA203" s="981"/>
      <c r="AC203" s="360"/>
      <c r="AH203" s="631"/>
      <c r="AI203" s="631"/>
      <c r="AJ203" s="631"/>
      <c r="AK203" s="631"/>
      <c r="AL203" s="631"/>
      <c r="AM203" s="631"/>
    </row>
    <row r="204" spans="1:153" hidden="1">
      <c r="B204" s="361">
        <v>2</v>
      </c>
      <c r="C204" s="364"/>
      <c r="D204" s="950"/>
      <c r="E204" s="951"/>
      <c r="F204" s="952"/>
      <c r="G204" s="950"/>
      <c r="H204" s="951"/>
      <c r="I204" s="952"/>
      <c r="J204" s="953"/>
      <c r="K204" s="954"/>
      <c r="L204" s="955"/>
      <c r="M204" s="950"/>
      <c r="N204" s="951"/>
      <c r="O204" s="952"/>
      <c r="P204" s="956"/>
      <c r="Q204" s="957"/>
      <c r="S204" s="979"/>
      <c r="T204" s="980"/>
      <c r="U204" s="980"/>
      <c r="V204" s="980"/>
      <c r="W204" s="980"/>
      <c r="X204" s="980"/>
      <c r="Y204" s="980"/>
      <c r="Z204" s="980"/>
      <c r="AA204" s="981"/>
      <c r="AC204" s="360"/>
      <c r="AH204" s="631"/>
      <c r="AI204" s="631"/>
      <c r="AJ204" s="631"/>
      <c r="AK204" s="631"/>
      <c r="AL204" s="631"/>
      <c r="AM204" s="631"/>
    </row>
    <row r="205" spans="1:153" hidden="1">
      <c r="B205" s="361">
        <v>3</v>
      </c>
      <c r="C205" s="364"/>
      <c r="D205" s="950"/>
      <c r="E205" s="951"/>
      <c r="F205" s="952"/>
      <c r="G205" s="950"/>
      <c r="H205" s="951"/>
      <c r="I205" s="952"/>
      <c r="J205" s="953"/>
      <c r="K205" s="954"/>
      <c r="L205" s="955"/>
      <c r="M205" s="950"/>
      <c r="N205" s="951"/>
      <c r="O205" s="952"/>
      <c r="P205" s="956"/>
      <c r="Q205" s="957"/>
      <c r="S205" s="979"/>
      <c r="T205" s="980"/>
      <c r="U205" s="980"/>
      <c r="V205" s="980"/>
      <c r="W205" s="980"/>
      <c r="X205" s="980"/>
      <c r="Y205" s="980"/>
      <c r="Z205" s="980"/>
      <c r="AA205" s="981"/>
      <c r="AC205" s="360"/>
      <c r="AH205" s="631"/>
      <c r="AI205" s="631"/>
      <c r="AJ205" s="631"/>
      <c r="AK205" s="631"/>
      <c r="AL205" s="631"/>
      <c r="AM205" s="631"/>
    </row>
    <row r="206" spans="1:153" hidden="1">
      <c r="B206" s="361">
        <v>4</v>
      </c>
      <c r="C206" s="364"/>
      <c r="D206" s="950"/>
      <c r="E206" s="951"/>
      <c r="F206" s="952"/>
      <c r="G206" s="950"/>
      <c r="H206" s="951"/>
      <c r="I206" s="952"/>
      <c r="J206" s="953"/>
      <c r="K206" s="954"/>
      <c r="L206" s="955"/>
      <c r="M206" s="950"/>
      <c r="N206" s="951"/>
      <c r="O206" s="952"/>
      <c r="P206" s="956"/>
      <c r="Q206" s="957"/>
      <c r="S206" s="979"/>
      <c r="T206" s="980"/>
      <c r="U206" s="980"/>
      <c r="V206" s="980"/>
      <c r="W206" s="980"/>
      <c r="X206" s="980"/>
      <c r="Y206" s="980"/>
      <c r="Z206" s="980"/>
      <c r="AA206" s="981"/>
      <c r="AC206" s="360"/>
      <c r="AH206" s="631"/>
      <c r="AI206" s="631"/>
      <c r="AJ206" s="631"/>
      <c r="AK206" s="631"/>
      <c r="AL206" s="631"/>
      <c r="AM206" s="631"/>
    </row>
    <row r="207" spans="1:153" hidden="1">
      <c r="B207" s="361">
        <v>5</v>
      </c>
      <c r="C207" s="364"/>
      <c r="D207" s="950"/>
      <c r="E207" s="951"/>
      <c r="F207" s="952"/>
      <c r="G207" s="950"/>
      <c r="H207" s="951"/>
      <c r="I207" s="952"/>
      <c r="J207" s="953"/>
      <c r="K207" s="954"/>
      <c r="L207" s="955"/>
      <c r="M207" s="950"/>
      <c r="N207" s="951"/>
      <c r="O207" s="952"/>
      <c r="P207" s="956"/>
      <c r="Q207" s="957"/>
      <c r="S207" s="979"/>
      <c r="T207" s="980"/>
      <c r="U207" s="980"/>
      <c r="V207" s="980"/>
      <c r="W207" s="980"/>
      <c r="X207" s="980"/>
      <c r="Y207" s="980"/>
      <c r="Z207" s="980"/>
      <c r="AA207" s="981"/>
      <c r="AC207" s="360"/>
      <c r="AH207" s="631"/>
      <c r="AI207" s="631"/>
      <c r="AJ207" s="631"/>
      <c r="AK207" s="631"/>
      <c r="AL207" s="631"/>
      <c r="AM207" s="631"/>
    </row>
    <row r="208" spans="1:153" hidden="1">
      <c r="B208" s="361">
        <v>6</v>
      </c>
      <c r="C208" s="364"/>
      <c r="D208" s="950"/>
      <c r="E208" s="951"/>
      <c r="F208" s="952"/>
      <c r="G208" s="950"/>
      <c r="H208" s="951"/>
      <c r="I208" s="952"/>
      <c r="J208" s="953"/>
      <c r="K208" s="954"/>
      <c r="L208" s="955"/>
      <c r="M208" s="950"/>
      <c r="N208" s="951"/>
      <c r="O208" s="952"/>
      <c r="P208" s="956"/>
      <c r="Q208" s="957"/>
      <c r="S208" s="979"/>
      <c r="T208" s="980"/>
      <c r="U208" s="980"/>
      <c r="V208" s="980"/>
      <c r="W208" s="980"/>
      <c r="X208" s="980"/>
      <c r="Y208" s="980"/>
      <c r="Z208" s="980"/>
      <c r="AA208" s="981"/>
      <c r="AC208" s="360"/>
      <c r="AH208" s="631"/>
      <c r="AI208" s="631"/>
      <c r="AJ208" s="631"/>
      <c r="AK208" s="631"/>
      <c r="AL208" s="631"/>
      <c r="AM208" s="631"/>
    </row>
    <row r="209" spans="2:39" hidden="1">
      <c r="B209" s="361">
        <v>7</v>
      </c>
      <c r="C209" s="364"/>
      <c r="D209" s="950"/>
      <c r="E209" s="951"/>
      <c r="F209" s="952"/>
      <c r="G209" s="950"/>
      <c r="H209" s="951"/>
      <c r="I209" s="952"/>
      <c r="J209" s="953"/>
      <c r="K209" s="954"/>
      <c r="L209" s="955"/>
      <c r="M209" s="950"/>
      <c r="N209" s="951"/>
      <c r="O209" s="952"/>
      <c r="P209" s="956"/>
      <c r="Q209" s="957"/>
      <c r="S209" s="979"/>
      <c r="T209" s="980"/>
      <c r="U209" s="980"/>
      <c r="V209" s="980"/>
      <c r="W209" s="980"/>
      <c r="X209" s="980"/>
      <c r="Y209" s="980"/>
      <c r="Z209" s="980"/>
      <c r="AA209" s="981"/>
      <c r="AC209" s="360"/>
      <c r="AH209" s="631"/>
      <c r="AI209" s="631"/>
      <c r="AJ209" s="631"/>
      <c r="AK209" s="631"/>
      <c r="AL209" s="631"/>
      <c r="AM209" s="631"/>
    </row>
    <row r="210" spans="2:39" hidden="1">
      <c r="B210" s="361">
        <v>8</v>
      </c>
      <c r="C210" s="364"/>
      <c r="D210" s="950"/>
      <c r="E210" s="951"/>
      <c r="F210" s="952"/>
      <c r="G210" s="950"/>
      <c r="H210" s="951"/>
      <c r="I210" s="952"/>
      <c r="J210" s="953"/>
      <c r="K210" s="954"/>
      <c r="L210" s="955"/>
      <c r="M210" s="950"/>
      <c r="N210" s="951"/>
      <c r="O210" s="952"/>
      <c r="P210" s="956"/>
      <c r="Q210" s="957"/>
      <c r="S210" s="979"/>
      <c r="T210" s="980"/>
      <c r="U210" s="980"/>
      <c r="V210" s="980"/>
      <c r="W210" s="980"/>
      <c r="X210" s="980"/>
      <c r="Y210" s="980"/>
      <c r="Z210" s="980"/>
      <c r="AA210" s="981"/>
      <c r="AC210" s="360"/>
      <c r="AH210" s="631"/>
      <c r="AI210" s="631"/>
      <c r="AJ210" s="631"/>
      <c r="AK210" s="631"/>
      <c r="AL210" s="631"/>
      <c r="AM210" s="631"/>
    </row>
    <row r="211" spans="2:39" hidden="1">
      <c r="B211" s="361">
        <v>9</v>
      </c>
      <c r="C211" s="364"/>
      <c r="D211" s="950"/>
      <c r="E211" s="951"/>
      <c r="F211" s="952"/>
      <c r="G211" s="950"/>
      <c r="H211" s="951"/>
      <c r="I211" s="952"/>
      <c r="J211" s="953"/>
      <c r="K211" s="954"/>
      <c r="L211" s="955"/>
      <c r="M211" s="950"/>
      <c r="N211" s="951"/>
      <c r="O211" s="952"/>
      <c r="P211" s="956"/>
      <c r="Q211" s="957"/>
      <c r="S211" s="979"/>
      <c r="T211" s="980"/>
      <c r="U211" s="980"/>
      <c r="V211" s="980"/>
      <c r="W211" s="980"/>
      <c r="X211" s="980"/>
      <c r="Y211" s="980"/>
      <c r="Z211" s="980"/>
      <c r="AA211" s="981"/>
      <c r="AC211" s="360"/>
      <c r="AH211" s="631"/>
      <c r="AI211" s="631"/>
      <c r="AJ211" s="631"/>
      <c r="AK211" s="631"/>
      <c r="AL211" s="631"/>
      <c r="AM211" s="631"/>
    </row>
    <row r="212" spans="2:39" hidden="1">
      <c r="B212" s="361">
        <v>10</v>
      </c>
      <c r="C212" s="364"/>
      <c r="D212" s="950"/>
      <c r="E212" s="951"/>
      <c r="F212" s="952"/>
      <c r="G212" s="950"/>
      <c r="H212" s="951"/>
      <c r="I212" s="952"/>
      <c r="J212" s="953"/>
      <c r="K212" s="954"/>
      <c r="L212" s="955"/>
      <c r="M212" s="950"/>
      <c r="N212" s="951"/>
      <c r="O212" s="952"/>
      <c r="P212" s="956"/>
      <c r="Q212" s="957"/>
      <c r="S212" s="979"/>
      <c r="T212" s="980"/>
      <c r="U212" s="980"/>
      <c r="V212" s="980"/>
      <c r="W212" s="980"/>
      <c r="X212" s="980"/>
      <c r="Y212" s="980"/>
      <c r="Z212" s="980"/>
      <c r="AA212" s="981"/>
      <c r="AC212" s="360"/>
      <c r="AH212" s="631"/>
      <c r="AI212" s="631"/>
      <c r="AJ212" s="631"/>
      <c r="AK212" s="631"/>
      <c r="AL212" s="631"/>
      <c r="AM212" s="631"/>
    </row>
    <row r="213" spans="2:39" hidden="1">
      <c r="B213" s="361">
        <v>11</v>
      </c>
      <c r="C213" s="364"/>
      <c r="D213" s="950"/>
      <c r="E213" s="951"/>
      <c r="F213" s="952"/>
      <c r="G213" s="950"/>
      <c r="H213" s="951"/>
      <c r="I213" s="952"/>
      <c r="J213" s="953"/>
      <c r="K213" s="954"/>
      <c r="L213" s="955"/>
      <c r="M213" s="950"/>
      <c r="N213" s="951"/>
      <c r="O213" s="952"/>
      <c r="P213" s="956"/>
      <c r="Q213" s="957"/>
      <c r="S213" s="979"/>
      <c r="T213" s="980"/>
      <c r="U213" s="980"/>
      <c r="V213" s="980"/>
      <c r="W213" s="980"/>
      <c r="X213" s="980"/>
      <c r="Y213" s="980"/>
      <c r="Z213" s="980"/>
      <c r="AA213" s="981"/>
      <c r="AC213" s="360"/>
      <c r="AH213" s="631"/>
      <c r="AI213" s="631"/>
      <c r="AJ213" s="631"/>
      <c r="AK213" s="631"/>
      <c r="AL213" s="631"/>
      <c r="AM213" s="631"/>
    </row>
    <row r="214" spans="2:39" hidden="1">
      <c r="B214" s="361">
        <v>12</v>
      </c>
      <c r="C214" s="364"/>
      <c r="D214" s="950"/>
      <c r="E214" s="951"/>
      <c r="F214" s="952"/>
      <c r="G214" s="950"/>
      <c r="H214" s="951"/>
      <c r="I214" s="952"/>
      <c r="J214" s="953"/>
      <c r="K214" s="954"/>
      <c r="L214" s="955"/>
      <c r="M214" s="950"/>
      <c r="N214" s="951"/>
      <c r="O214" s="952"/>
      <c r="P214" s="956"/>
      <c r="Q214" s="957"/>
      <c r="S214" s="979"/>
      <c r="T214" s="980"/>
      <c r="U214" s="980"/>
      <c r="V214" s="980"/>
      <c r="W214" s="980"/>
      <c r="X214" s="980"/>
      <c r="Y214" s="980"/>
      <c r="Z214" s="980"/>
      <c r="AA214" s="981"/>
      <c r="AC214" s="360"/>
      <c r="AH214" s="631"/>
      <c r="AI214" s="631"/>
      <c r="AJ214" s="631"/>
      <c r="AK214" s="631"/>
      <c r="AL214" s="631"/>
      <c r="AM214" s="631"/>
    </row>
    <row r="215" spans="2:39" hidden="1">
      <c r="B215" s="361">
        <v>13</v>
      </c>
      <c r="C215" s="364"/>
      <c r="D215" s="950"/>
      <c r="E215" s="951"/>
      <c r="F215" s="952"/>
      <c r="G215" s="950"/>
      <c r="H215" s="951"/>
      <c r="I215" s="952"/>
      <c r="J215" s="953"/>
      <c r="K215" s="954"/>
      <c r="L215" s="955"/>
      <c r="M215" s="950"/>
      <c r="N215" s="951"/>
      <c r="O215" s="952"/>
      <c r="P215" s="956"/>
      <c r="Q215" s="957"/>
      <c r="S215" s="979"/>
      <c r="T215" s="980"/>
      <c r="U215" s="980"/>
      <c r="V215" s="980"/>
      <c r="W215" s="980"/>
      <c r="X215" s="980"/>
      <c r="Y215" s="980"/>
      <c r="Z215" s="980"/>
      <c r="AA215" s="981"/>
      <c r="AC215" s="360"/>
      <c r="AH215" s="631"/>
      <c r="AI215" s="631"/>
      <c r="AJ215" s="631"/>
      <c r="AK215" s="631"/>
      <c r="AL215" s="631"/>
      <c r="AM215" s="631"/>
    </row>
    <row r="216" spans="2:39" hidden="1">
      <c r="B216" s="361">
        <v>14</v>
      </c>
      <c r="C216" s="364"/>
      <c r="D216" s="950"/>
      <c r="E216" s="951"/>
      <c r="F216" s="952"/>
      <c r="G216" s="950"/>
      <c r="H216" s="951"/>
      <c r="I216" s="952"/>
      <c r="J216" s="953"/>
      <c r="K216" s="954"/>
      <c r="L216" s="955"/>
      <c r="M216" s="950"/>
      <c r="N216" s="951"/>
      <c r="O216" s="952"/>
      <c r="P216" s="956"/>
      <c r="Q216" s="957"/>
      <c r="S216" s="979"/>
      <c r="T216" s="980"/>
      <c r="U216" s="980"/>
      <c r="V216" s="980"/>
      <c r="W216" s="980"/>
      <c r="X216" s="980"/>
      <c r="Y216" s="980"/>
      <c r="Z216" s="980"/>
      <c r="AA216" s="981"/>
      <c r="AC216" s="360"/>
      <c r="AH216" s="631"/>
      <c r="AI216" s="631"/>
      <c r="AJ216" s="631"/>
      <c r="AK216" s="631"/>
      <c r="AL216" s="631"/>
      <c r="AM216" s="631"/>
    </row>
    <row r="217" spans="2:39" hidden="1">
      <c r="B217" s="361">
        <v>15</v>
      </c>
      <c r="C217" s="364"/>
      <c r="D217" s="950"/>
      <c r="E217" s="951"/>
      <c r="F217" s="952"/>
      <c r="G217" s="950"/>
      <c r="H217" s="951"/>
      <c r="I217" s="952"/>
      <c r="J217" s="953"/>
      <c r="K217" s="954"/>
      <c r="L217" s="955"/>
      <c r="M217" s="950"/>
      <c r="N217" s="951"/>
      <c r="O217" s="952"/>
      <c r="P217" s="956"/>
      <c r="Q217" s="957"/>
      <c r="S217" s="979"/>
      <c r="T217" s="980"/>
      <c r="U217" s="980"/>
      <c r="V217" s="980"/>
      <c r="W217" s="980"/>
      <c r="X217" s="980"/>
      <c r="Y217" s="980"/>
      <c r="Z217" s="980"/>
      <c r="AA217" s="981"/>
      <c r="AC217" s="360"/>
      <c r="AH217" s="631"/>
      <c r="AI217" s="631"/>
      <c r="AJ217" s="631"/>
      <c r="AK217" s="631"/>
      <c r="AL217" s="631"/>
      <c r="AM217" s="631"/>
    </row>
    <row r="218" spans="2:39" hidden="1">
      <c r="B218" s="361">
        <v>16</v>
      </c>
      <c r="C218" s="364"/>
      <c r="D218" s="950"/>
      <c r="E218" s="951"/>
      <c r="F218" s="952"/>
      <c r="G218" s="950"/>
      <c r="H218" s="951"/>
      <c r="I218" s="952"/>
      <c r="J218" s="953"/>
      <c r="K218" s="954"/>
      <c r="L218" s="955"/>
      <c r="M218" s="950"/>
      <c r="N218" s="951"/>
      <c r="O218" s="952"/>
      <c r="P218" s="956"/>
      <c r="Q218" s="957"/>
      <c r="S218" s="979"/>
      <c r="T218" s="980"/>
      <c r="U218" s="980"/>
      <c r="V218" s="980"/>
      <c r="W218" s="980"/>
      <c r="X218" s="980"/>
      <c r="Y218" s="980"/>
      <c r="Z218" s="980"/>
      <c r="AA218" s="981"/>
      <c r="AC218" s="360"/>
      <c r="AH218" s="631"/>
      <c r="AI218" s="631"/>
      <c r="AJ218" s="631"/>
      <c r="AK218" s="631"/>
      <c r="AL218" s="631"/>
      <c r="AM218" s="631"/>
    </row>
    <row r="219" spans="2:39" hidden="1">
      <c r="B219" s="361">
        <v>17</v>
      </c>
      <c r="C219" s="364"/>
      <c r="D219" s="950"/>
      <c r="E219" s="951"/>
      <c r="F219" s="952"/>
      <c r="G219" s="950"/>
      <c r="H219" s="951"/>
      <c r="I219" s="952"/>
      <c r="J219" s="953"/>
      <c r="K219" s="954"/>
      <c r="L219" s="955"/>
      <c r="M219" s="950"/>
      <c r="N219" s="951"/>
      <c r="O219" s="952"/>
      <c r="P219" s="956"/>
      <c r="Q219" s="957"/>
      <c r="S219" s="979"/>
      <c r="T219" s="980"/>
      <c r="U219" s="980"/>
      <c r="V219" s="980"/>
      <c r="W219" s="980"/>
      <c r="X219" s="980"/>
      <c r="Y219" s="980"/>
      <c r="Z219" s="980"/>
      <c r="AA219" s="981"/>
      <c r="AC219" s="360"/>
      <c r="AH219" s="631"/>
      <c r="AI219" s="631"/>
      <c r="AJ219" s="631"/>
      <c r="AK219" s="631"/>
      <c r="AL219" s="631"/>
      <c r="AM219" s="631"/>
    </row>
    <row r="220" spans="2:39" hidden="1">
      <c r="B220" s="361">
        <v>18</v>
      </c>
      <c r="C220" s="364"/>
      <c r="D220" s="950"/>
      <c r="E220" s="951"/>
      <c r="F220" s="952"/>
      <c r="G220" s="950"/>
      <c r="H220" s="951"/>
      <c r="I220" s="952"/>
      <c r="J220" s="953"/>
      <c r="K220" s="954"/>
      <c r="L220" s="955"/>
      <c r="M220" s="950"/>
      <c r="N220" s="951"/>
      <c r="O220" s="952"/>
      <c r="P220" s="956"/>
      <c r="Q220" s="957"/>
      <c r="S220" s="979"/>
      <c r="T220" s="980"/>
      <c r="U220" s="980"/>
      <c r="V220" s="980"/>
      <c r="W220" s="980"/>
      <c r="X220" s="980"/>
      <c r="Y220" s="980"/>
      <c r="Z220" s="980"/>
      <c r="AA220" s="981"/>
      <c r="AC220" s="360"/>
      <c r="AH220" s="631"/>
      <c r="AI220" s="631"/>
      <c r="AJ220" s="631"/>
      <c r="AK220" s="631"/>
      <c r="AL220" s="631"/>
      <c r="AM220" s="631"/>
    </row>
    <row r="221" spans="2:39" hidden="1">
      <c r="B221" s="361">
        <v>19</v>
      </c>
      <c r="C221" s="364"/>
      <c r="D221" s="950"/>
      <c r="E221" s="951"/>
      <c r="F221" s="952"/>
      <c r="G221" s="950"/>
      <c r="H221" s="951"/>
      <c r="I221" s="952"/>
      <c r="J221" s="953"/>
      <c r="K221" s="954"/>
      <c r="L221" s="955"/>
      <c r="M221" s="950"/>
      <c r="N221" s="951"/>
      <c r="O221" s="952"/>
      <c r="P221" s="956"/>
      <c r="Q221" s="957"/>
      <c r="S221" s="979"/>
      <c r="T221" s="980"/>
      <c r="U221" s="980"/>
      <c r="V221" s="980"/>
      <c r="W221" s="980"/>
      <c r="X221" s="980"/>
      <c r="Y221" s="980"/>
      <c r="Z221" s="980"/>
      <c r="AA221" s="981"/>
      <c r="AC221" s="360"/>
      <c r="AH221" s="631"/>
      <c r="AI221" s="631"/>
      <c r="AJ221" s="631"/>
      <c r="AK221" s="631"/>
      <c r="AL221" s="631"/>
      <c r="AM221" s="631"/>
    </row>
    <row r="222" spans="2:39" hidden="1">
      <c r="B222" s="361">
        <v>20</v>
      </c>
      <c r="C222" s="364"/>
      <c r="D222" s="950"/>
      <c r="E222" s="951"/>
      <c r="F222" s="952"/>
      <c r="G222" s="950"/>
      <c r="H222" s="951"/>
      <c r="I222" s="952"/>
      <c r="J222" s="953"/>
      <c r="K222" s="954"/>
      <c r="L222" s="955"/>
      <c r="M222" s="950"/>
      <c r="N222" s="951"/>
      <c r="O222" s="952"/>
      <c r="P222" s="956"/>
      <c r="Q222" s="957"/>
      <c r="S222" s="979"/>
      <c r="T222" s="980"/>
      <c r="U222" s="980"/>
      <c r="V222" s="980"/>
      <c r="W222" s="980"/>
      <c r="X222" s="980"/>
      <c r="Y222" s="980"/>
      <c r="Z222" s="980"/>
      <c r="AA222" s="981"/>
      <c r="AC222" s="360"/>
      <c r="AH222" s="631"/>
      <c r="AI222" s="631"/>
      <c r="AJ222" s="631"/>
      <c r="AK222" s="631"/>
      <c r="AL222" s="631"/>
      <c r="AM222" s="631"/>
    </row>
    <row r="223" spans="2:39" hidden="1">
      <c r="B223" s="361">
        <v>21</v>
      </c>
      <c r="C223" s="364"/>
      <c r="D223" s="950"/>
      <c r="E223" s="951"/>
      <c r="F223" s="952"/>
      <c r="G223" s="950"/>
      <c r="H223" s="951"/>
      <c r="I223" s="952"/>
      <c r="J223" s="953"/>
      <c r="K223" s="954"/>
      <c r="L223" s="955"/>
      <c r="M223" s="950"/>
      <c r="N223" s="951"/>
      <c r="O223" s="952"/>
      <c r="P223" s="956"/>
      <c r="Q223" s="957"/>
      <c r="S223" s="979"/>
      <c r="T223" s="980"/>
      <c r="U223" s="980"/>
      <c r="V223" s="980"/>
      <c r="W223" s="980"/>
      <c r="X223" s="980"/>
      <c r="Y223" s="980"/>
      <c r="Z223" s="980"/>
      <c r="AA223" s="981"/>
      <c r="AC223" s="360"/>
      <c r="AH223" s="631"/>
      <c r="AI223" s="631"/>
      <c r="AJ223" s="631"/>
      <c r="AK223" s="631"/>
      <c r="AL223" s="631"/>
      <c r="AM223" s="631"/>
    </row>
    <row r="224" spans="2:39" hidden="1">
      <c r="B224" s="361">
        <v>22</v>
      </c>
      <c r="C224" s="364"/>
      <c r="D224" s="950"/>
      <c r="E224" s="951"/>
      <c r="F224" s="952"/>
      <c r="G224" s="950"/>
      <c r="H224" s="951"/>
      <c r="I224" s="952"/>
      <c r="J224" s="953"/>
      <c r="K224" s="954"/>
      <c r="L224" s="955"/>
      <c r="M224" s="950"/>
      <c r="N224" s="951"/>
      <c r="O224" s="952"/>
      <c r="P224" s="956"/>
      <c r="Q224" s="957"/>
      <c r="S224" s="979"/>
      <c r="T224" s="980"/>
      <c r="U224" s="980"/>
      <c r="V224" s="980"/>
      <c r="W224" s="980"/>
      <c r="X224" s="980"/>
      <c r="Y224" s="980"/>
      <c r="Z224" s="980"/>
      <c r="AA224" s="981"/>
      <c r="AC224" s="360"/>
      <c r="AH224" s="631"/>
      <c r="AI224" s="631"/>
      <c r="AJ224" s="631"/>
      <c r="AK224" s="631"/>
      <c r="AL224" s="631"/>
      <c r="AM224" s="631"/>
    </row>
    <row r="225" spans="1:153" hidden="1">
      <c r="B225" s="361">
        <v>23</v>
      </c>
      <c r="C225" s="364"/>
      <c r="D225" s="950"/>
      <c r="E225" s="951"/>
      <c r="F225" s="952"/>
      <c r="G225" s="950"/>
      <c r="H225" s="951"/>
      <c r="I225" s="952"/>
      <c r="J225" s="953"/>
      <c r="K225" s="954"/>
      <c r="L225" s="955"/>
      <c r="M225" s="950"/>
      <c r="N225" s="951"/>
      <c r="O225" s="952"/>
      <c r="P225" s="956"/>
      <c r="Q225" s="957"/>
      <c r="S225" s="979"/>
      <c r="T225" s="980"/>
      <c r="U225" s="980"/>
      <c r="V225" s="980"/>
      <c r="W225" s="980"/>
      <c r="X225" s="980"/>
      <c r="Y225" s="980"/>
      <c r="Z225" s="980"/>
      <c r="AA225" s="981"/>
      <c r="AC225" s="360"/>
      <c r="AH225" s="631"/>
      <c r="AI225" s="631"/>
      <c r="AJ225" s="631"/>
      <c r="AK225" s="631"/>
      <c r="AL225" s="631"/>
      <c r="AM225" s="631"/>
    </row>
    <row r="226" spans="1:153" hidden="1">
      <c r="B226" s="361">
        <v>24</v>
      </c>
      <c r="C226" s="364"/>
      <c r="D226" s="950"/>
      <c r="E226" s="951"/>
      <c r="F226" s="952"/>
      <c r="G226" s="950"/>
      <c r="H226" s="951"/>
      <c r="I226" s="952"/>
      <c r="J226" s="953"/>
      <c r="K226" s="954"/>
      <c r="L226" s="955"/>
      <c r="M226" s="950"/>
      <c r="N226" s="951"/>
      <c r="O226" s="952"/>
      <c r="P226" s="956"/>
      <c r="Q226" s="957"/>
      <c r="S226" s="979"/>
      <c r="T226" s="980"/>
      <c r="U226" s="980"/>
      <c r="V226" s="980"/>
      <c r="W226" s="980"/>
      <c r="X226" s="980"/>
      <c r="Y226" s="980"/>
      <c r="Z226" s="980"/>
      <c r="AA226" s="981"/>
      <c r="AC226" s="360"/>
      <c r="AH226" s="631"/>
      <c r="AI226" s="631"/>
      <c r="AJ226" s="631"/>
      <c r="AK226" s="631"/>
      <c r="AL226" s="631"/>
      <c r="AM226" s="631"/>
    </row>
    <row r="227" spans="1:153" ht="13.5" hidden="1" thickBot="1">
      <c r="B227" s="361">
        <v>25</v>
      </c>
      <c r="C227" s="364"/>
      <c r="D227" s="950"/>
      <c r="E227" s="951"/>
      <c r="F227" s="952"/>
      <c r="G227" s="950"/>
      <c r="H227" s="951"/>
      <c r="I227" s="952"/>
      <c r="J227" s="953"/>
      <c r="K227" s="954"/>
      <c r="L227" s="955"/>
      <c r="M227" s="950"/>
      <c r="N227" s="951"/>
      <c r="O227" s="952"/>
      <c r="P227" s="956"/>
      <c r="Q227" s="957"/>
      <c r="S227" s="982"/>
      <c r="T227" s="983"/>
      <c r="U227" s="983"/>
      <c r="V227" s="983"/>
      <c r="W227" s="983"/>
      <c r="X227" s="983"/>
      <c r="Y227" s="983"/>
      <c r="Z227" s="983"/>
      <c r="AA227" s="984"/>
      <c r="AC227" s="360"/>
      <c r="AH227" s="631"/>
      <c r="AI227" s="631"/>
      <c r="AJ227" s="631"/>
      <c r="AK227" s="631"/>
      <c r="AL227" s="631"/>
      <c r="AM227" s="631"/>
    </row>
    <row r="228" spans="1:153" hidden="1">
      <c r="B228" s="358"/>
    </row>
    <row r="229" spans="1:153" hidden="1">
      <c r="B229" s="358"/>
    </row>
    <row r="230" spans="1:153" hidden="1">
      <c r="B230" s="358"/>
    </row>
    <row r="231" spans="1:153" ht="51" customHeight="1">
      <c r="B231" s="358"/>
    </row>
    <row r="232" spans="1:153" s="635" customFormat="1" ht="15.75" customHeight="1">
      <c r="A232" s="244"/>
      <c r="H232" s="652"/>
      <c r="I232" s="652"/>
      <c r="J232" s="652"/>
      <c r="K232" s="652"/>
      <c r="L232" s="652"/>
      <c r="M232" s="652"/>
      <c r="N232" s="652"/>
      <c r="O232" s="652"/>
      <c r="P232" s="652"/>
      <c r="Q232" s="462" t="s">
        <v>226</v>
      </c>
      <c r="R232" s="462" t="s">
        <v>227</v>
      </c>
      <c r="S232" s="462" t="s">
        <v>228</v>
      </c>
      <c r="T232" s="652"/>
      <c r="U232" s="652"/>
      <c r="Y232" s="365"/>
      <c r="Z232" s="365"/>
      <c r="AA232" s="365"/>
      <c r="AB232" s="629"/>
      <c r="AC232" s="630"/>
      <c r="AD232" s="630"/>
      <c r="AE232" s="630"/>
      <c r="AF232" s="630"/>
      <c r="AG232" s="631"/>
      <c r="AH232" s="632"/>
      <c r="AI232" s="632"/>
      <c r="AJ232" s="632"/>
      <c r="AK232" s="632"/>
      <c r="AL232" s="632"/>
      <c r="AM232" s="632"/>
      <c r="AN232" s="631"/>
      <c r="AO232" s="631"/>
      <c r="AP232" s="631"/>
      <c r="AQ232" s="631"/>
      <c r="AR232" s="631"/>
      <c r="AS232" s="631"/>
      <c r="AT232" s="631"/>
      <c r="AU232" s="631"/>
      <c r="AV232" s="631"/>
      <c r="AW232" s="631"/>
      <c r="AX232" s="631"/>
      <c r="AY232" s="631"/>
      <c r="AZ232" s="631"/>
      <c r="BA232" s="631"/>
      <c r="BB232" s="631"/>
      <c r="BC232" s="631"/>
      <c r="BD232" s="633"/>
      <c r="BE232" s="633"/>
      <c r="BF232" s="633"/>
      <c r="BG232" s="633"/>
      <c r="BH232" s="633"/>
      <c r="BI232" s="633"/>
      <c r="BJ232" s="633"/>
      <c r="BK232" s="633"/>
      <c r="BL232" s="633"/>
      <c r="BM232" s="633"/>
      <c r="BN232" s="633"/>
      <c r="BO232" s="633"/>
      <c r="BP232" s="633"/>
      <c r="BQ232" s="633"/>
      <c r="BR232" s="633"/>
      <c r="BS232" s="633"/>
      <c r="BT232" s="633"/>
      <c r="BU232" s="633"/>
      <c r="BV232" s="633"/>
      <c r="BW232" s="633"/>
      <c r="BX232" s="633"/>
      <c r="BY232" s="633"/>
      <c r="BZ232" s="633"/>
      <c r="CA232" s="633"/>
      <c r="CB232" s="633"/>
      <c r="CC232" s="633"/>
      <c r="CD232" s="633"/>
      <c r="CE232" s="633"/>
      <c r="CF232" s="633"/>
      <c r="CG232" s="633"/>
      <c r="CH232" s="633"/>
      <c r="CI232" s="633"/>
      <c r="CJ232" s="633"/>
      <c r="CK232" s="633"/>
      <c r="CL232" s="633"/>
      <c r="CM232" s="633"/>
      <c r="CN232" s="633"/>
      <c r="CO232" s="633"/>
      <c r="CP232" s="633"/>
      <c r="CQ232" s="633"/>
      <c r="CR232" s="633"/>
      <c r="CS232" s="633"/>
      <c r="CT232" s="633"/>
      <c r="CU232" s="633"/>
      <c r="CV232" s="633"/>
      <c r="CW232" s="633"/>
      <c r="CX232" s="633"/>
      <c r="CY232" s="633"/>
      <c r="CZ232" s="633"/>
      <c r="DA232" s="633"/>
      <c r="DB232" s="633"/>
      <c r="DC232" s="633"/>
      <c r="DD232" s="633"/>
      <c r="DE232" s="633"/>
      <c r="DF232" s="633"/>
      <c r="DG232" s="633"/>
      <c r="DH232" s="633"/>
      <c r="DI232" s="633"/>
      <c r="DJ232" s="633"/>
      <c r="DK232" s="633"/>
      <c r="DL232" s="633"/>
      <c r="DM232" s="633"/>
      <c r="DN232" s="633"/>
      <c r="DO232" s="633"/>
      <c r="DP232" s="633"/>
      <c r="DQ232" s="633"/>
      <c r="DR232" s="633"/>
      <c r="DS232" s="633"/>
      <c r="DT232" s="633"/>
      <c r="DU232" s="633"/>
      <c r="DV232" s="633"/>
      <c r="DW232" s="633"/>
      <c r="DX232" s="633"/>
      <c r="DY232" s="633"/>
      <c r="DZ232" s="633"/>
      <c r="EA232" s="633"/>
      <c r="EB232" s="633"/>
      <c r="EC232" s="633"/>
      <c r="ED232" s="633"/>
      <c r="EE232" s="633"/>
      <c r="EF232" s="633"/>
      <c r="EG232" s="633"/>
      <c r="EH232" s="633"/>
      <c r="EI232" s="633"/>
      <c r="EJ232" s="633"/>
      <c r="EK232" s="633"/>
      <c r="EL232" s="633"/>
      <c r="EM232" s="633"/>
      <c r="EN232" s="633"/>
      <c r="EO232" s="630"/>
      <c r="EP232" s="630"/>
      <c r="EQ232" s="630"/>
      <c r="ER232" s="630"/>
      <c r="ES232" s="630"/>
      <c r="ET232" s="630"/>
      <c r="EU232" s="630"/>
      <c r="EV232" s="630"/>
      <c r="EW232" s="630"/>
    </row>
    <row r="233" spans="1:153" s="635" customFormat="1" ht="15.75" customHeight="1">
      <c r="A233" s="244"/>
      <c r="B233" s="366" t="s">
        <v>38</v>
      </c>
      <c r="H233" s="464" t="s">
        <v>221</v>
      </c>
      <c r="I233" s="652" t="s">
        <v>225</v>
      </c>
      <c r="J233" s="652"/>
      <c r="K233" s="652"/>
      <c r="L233" s="652"/>
      <c r="M233" s="652"/>
      <c r="N233" s="652" t="s">
        <v>229</v>
      </c>
      <c r="O233" s="463"/>
      <c r="P233" s="652"/>
      <c r="Q233" s="465" t="s">
        <v>46</v>
      </c>
      <c r="R233" s="465" t="s">
        <v>2</v>
      </c>
      <c r="S233" s="465" t="s">
        <v>2</v>
      </c>
      <c r="T233" s="652"/>
      <c r="U233" s="652"/>
      <c r="Y233" s="652">
        <f>IF(Q233="X",1000000,0)</f>
        <v>1000000</v>
      </c>
      <c r="Z233" s="652">
        <f>IF(R233="X",100000,0)</f>
        <v>0</v>
      </c>
      <c r="AA233" s="365">
        <f>IF(S233="X",200000,0)</f>
        <v>0</v>
      </c>
      <c r="AB233" s="629"/>
      <c r="AC233" s="630"/>
      <c r="AD233" s="630">
        <f>SUM(Y233:AA233)</f>
        <v>1000000</v>
      </c>
      <c r="AE233" s="630"/>
      <c r="AF233" s="630"/>
      <c r="AG233" s="631"/>
      <c r="AH233" s="632"/>
      <c r="AI233" s="632"/>
      <c r="AJ233" s="632"/>
      <c r="AK233" s="632"/>
      <c r="AL233" s="632"/>
      <c r="AM233" s="632"/>
      <c r="AN233" s="631"/>
      <c r="AO233" s="631"/>
      <c r="AP233" s="631"/>
      <c r="AQ233" s="631"/>
      <c r="AR233" s="631"/>
      <c r="AS233" s="631"/>
      <c r="AT233" s="631"/>
      <c r="AU233" s="631"/>
      <c r="AV233" s="631"/>
      <c r="AW233" s="631"/>
      <c r="AX233" s="631"/>
      <c r="AY233" s="631"/>
      <c r="AZ233" s="631"/>
      <c r="BA233" s="631"/>
      <c r="BB233" s="631"/>
      <c r="BC233" s="631"/>
      <c r="BD233" s="633"/>
      <c r="BE233" s="633"/>
      <c r="BF233" s="633"/>
      <c r="BG233" s="633"/>
      <c r="BH233" s="633"/>
      <c r="BI233" s="633"/>
      <c r="BJ233" s="633"/>
      <c r="BK233" s="633"/>
      <c r="BL233" s="633"/>
      <c r="BM233" s="633"/>
      <c r="BN233" s="633"/>
      <c r="BO233" s="633"/>
      <c r="BP233" s="633"/>
      <c r="BQ233" s="633"/>
      <c r="BR233" s="633"/>
      <c r="BS233" s="633"/>
      <c r="BT233" s="633"/>
      <c r="BU233" s="633"/>
      <c r="BV233" s="633"/>
      <c r="BW233" s="633"/>
      <c r="BX233" s="633"/>
      <c r="BY233" s="633"/>
      <c r="BZ233" s="633"/>
      <c r="CA233" s="633"/>
      <c r="CB233" s="633"/>
      <c r="CC233" s="633"/>
      <c r="CD233" s="633"/>
      <c r="CE233" s="633"/>
      <c r="CF233" s="633"/>
      <c r="CG233" s="633"/>
      <c r="CH233" s="633"/>
      <c r="CI233" s="633"/>
      <c r="CJ233" s="633"/>
      <c r="CK233" s="633"/>
      <c r="CL233" s="633"/>
      <c r="CM233" s="633"/>
      <c r="CN233" s="633"/>
      <c r="CO233" s="633"/>
      <c r="CP233" s="633"/>
      <c r="CQ233" s="633"/>
      <c r="CR233" s="633"/>
      <c r="CS233" s="633"/>
      <c r="CT233" s="633"/>
      <c r="CU233" s="633"/>
      <c r="CV233" s="633"/>
      <c r="CW233" s="633"/>
      <c r="CX233" s="633"/>
      <c r="CY233" s="633"/>
      <c r="CZ233" s="633"/>
      <c r="DA233" s="633"/>
      <c r="DB233" s="633"/>
      <c r="DC233" s="633"/>
      <c r="DD233" s="633"/>
      <c r="DE233" s="633"/>
      <c r="DF233" s="633"/>
      <c r="DG233" s="633"/>
      <c r="DH233" s="633"/>
      <c r="DI233" s="633"/>
      <c r="DJ233" s="633"/>
      <c r="DK233" s="633"/>
      <c r="DL233" s="633"/>
      <c r="DM233" s="633"/>
      <c r="DN233" s="633"/>
      <c r="DO233" s="633"/>
      <c r="DP233" s="633"/>
      <c r="DQ233" s="633"/>
      <c r="DR233" s="633"/>
      <c r="DS233" s="633"/>
      <c r="DT233" s="633"/>
      <c r="DU233" s="633"/>
      <c r="DV233" s="633"/>
      <c r="DW233" s="633"/>
      <c r="DX233" s="633"/>
      <c r="DY233" s="633"/>
      <c r="DZ233" s="633"/>
      <c r="EA233" s="633"/>
      <c r="EB233" s="633"/>
      <c r="EC233" s="633"/>
      <c r="ED233" s="633"/>
      <c r="EE233" s="633"/>
      <c r="EF233" s="633"/>
      <c r="EG233" s="633"/>
      <c r="EH233" s="633"/>
      <c r="EI233" s="633"/>
      <c r="EJ233" s="633"/>
      <c r="EK233" s="633"/>
      <c r="EL233" s="633"/>
      <c r="EM233" s="633"/>
      <c r="EN233" s="633"/>
      <c r="EO233" s="630"/>
      <c r="EP233" s="630"/>
      <c r="EQ233" s="630"/>
      <c r="ER233" s="630"/>
      <c r="ES233" s="630"/>
      <c r="ET233" s="630"/>
      <c r="EU233" s="630"/>
      <c r="EV233" s="630"/>
      <c r="EW233" s="630"/>
    </row>
    <row r="234" spans="1:153" ht="7.5" customHeight="1">
      <c r="D234" s="635"/>
      <c r="E234" s="635"/>
      <c r="F234" s="635"/>
      <c r="G234" s="635"/>
      <c r="H234" s="635"/>
      <c r="I234" s="635"/>
      <c r="J234" s="635"/>
      <c r="K234" s="635"/>
      <c r="L234" s="635"/>
      <c r="M234" s="635"/>
      <c r="N234" s="635"/>
      <c r="O234" s="635"/>
      <c r="P234" s="635"/>
      <c r="Q234" s="635"/>
      <c r="R234" s="635"/>
      <c r="S234" s="635"/>
      <c r="T234" s="635"/>
      <c r="U234" s="635"/>
    </row>
    <row r="235" spans="1:153" ht="15" customHeight="1">
      <c r="C235" s="367"/>
      <c r="D235" s="367"/>
      <c r="E235" s="368" t="s">
        <v>256</v>
      </c>
      <c r="F235" s="368"/>
      <c r="G235" s="368"/>
      <c r="H235" s="369"/>
      <c r="I235" s="466"/>
      <c r="J235" s="369"/>
      <c r="K235" s="369"/>
      <c r="L235" s="369" t="s">
        <v>264</v>
      </c>
      <c r="M235" s="369"/>
      <c r="N235" s="369"/>
      <c r="O235" s="466"/>
      <c r="P235" s="369"/>
      <c r="Q235" s="369"/>
      <c r="R235" s="369"/>
      <c r="S235" s="369"/>
      <c r="T235" s="369"/>
      <c r="U235" s="467"/>
      <c r="V235" s="369"/>
      <c r="W235" s="367"/>
      <c r="X235" s="635"/>
      <c r="Y235" s="635"/>
    </row>
    <row r="236" spans="1:153" ht="15" customHeight="1">
      <c r="C236" s="367"/>
      <c r="D236" s="367"/>
      <c r="E236" s="368"/>
      <c r="F236" s="368"/>
      <c r="G236" s="368"/>
      <c r="H236" s="369"/>
      <c r="I236" s="466"/>
      <c r="J236" s="369"/>
      <c r="K236" s="369"/>
      <c r="L236" s="369" t="s">
        <v>262</v>
      </c>
      <c r="M236" s="369"/>
      <c r="N236" s="369"/>
      <c r="O236" s="466"/>
      <c r="P236" s="369"/>
      <c r="Q236" s="369"/>
      <c r="R236" s="369"/>
      <c r="S236" s="369"/>
      <c r="T236" s="369"/>
      <c r="U236" s="467"/>
      <c r="V236" s="369"/>
      <c r="W236" s="367"/>
      <c r="X236" s="635"/>
      <c r="Y236" s="635"/>
    </row>
    <row r="237" spans="1:153" ht="15" customHeight="1">
      <c r="C237" s="367"/>
      <c r="D237" s="367"/>
      <c r="E237" s="949" t="s">
        <v>257</v>
      </c>
      <c r="F237" s="949"/>
      <c r="G237" s="949"/>
      <c r="H237" s="949"/>
      <c r="I237" s="949"/>
      <c r="J237" s="949"/>
      <c r="K237" s="369"/>
      <c r="L237" s="405">
        <v>3.35</v>
      </c>
      <c r="M237" s="369"/>
      <c r="N237" s="369"/>
      <c r="O237" s="466"/>
      <c r="P237" s="369"/>
      <c r="Q237" s="369"/>
      <c r="R237" s="369"/>
      <c r="S237" s="369"/>
      <c r="T237" s="369"/>
      <c r="U237" s="467"/>
      <c r="V237" s="369"/>
      <c r="W237" s="367"/>
      <c r="X237" s="635"/>
      <c r="Y237" s="635"/>
    </row>
    <row r="238" spans="1:153" ht="15" customHeight="1">
      <c r="C238" s="367"/>
      <c r="D238" s="367"/>
      <c r="E238" s="949" t="s">
        <v>258</v>
      </c>
      <c r="F238" s="949"/>
      <c r="G238" s="949"/>
      <c r="H238" s="949"/>
      <c r="I238" s="949"/>
      <c r="J238" s="949"/>
      <c r="K238" s="369"/>
      <c r="L238" s="405">
        <v>2.35</v>
      </c>
      <c r="M238" s="369"/>
      <c r="N238" s="369"/>
      <c r="O238" s="466"/>
      <c r="P238" s="369"/>
      <c r="Q238" s="369"/>
      <c r="R238" s="369"/>
      <c r="S238" s="369"/>
      <c r="T238" s="369"/>
      <c r="U238" s="369"/>
      <c r="V238" s="369"/>
      <c r="W238" s="367"/>
      <c r="X238" s="635"/>
      <c r="Y238" s="635"/>
    </row>
    <row r="239" spans="1:153" ht="15" customHeight="1">
      <c r="C239" s="367"/>
      <c r="D239" s="367"/>
      <c r="E239" s="949" t="s">
        <v>72</v>
      </c>
      <c r="F239" s="949"/>
      <c r="G239" s="949"/>
      <c r="H239" s="949"/>
      <c r="I239" s="949"/>
      <c r="J239" s="949"/>
      <c r="K239" s="369"/>
      <c r="L239" s="405">
        <v>1.1000000000000001</v>
      </c>
      <c r="M239" s="369"/>
      <c r="N239" s="369"/>
      <c r="O239" s="466"/>
      <c r="P239" s="369"/>
      <c r="Q239" s="369"/>
      <c r="R239" s="369"/>
      <c r="S239" s="369"/>
      <c r="T239" s="369"/>
      <c r="U239" s="369"/>
      <c r="V239" s="369"/>
      <c r="W239" s="367"/>
      <c r="X239" s="635"/>
      <c r="Y239" s="635"/>
    </row>
    <row r="240" spans="1:153" ht="15" customHeight="1">
      <c r="C240" s="367"/>
      <c r="D240" s="367"/>
      <c r="E240" s="949" t="s">
        <v>259</v>
      </c>
      <c r="F240" s="949"/>
      <c r="G240" s="949"/>
      <c r="H240" s="949"/>
      <c r="I240" s="949"/>
      <c r="J240" s="949"/>
      <c r="K240" s="369"/>
      <c r="L240" s="405">
        <v>1.1000000000000001</v>
      </c>
      <c r="M240" s="369"/>
      <c r="N240" s="369"/>
      <c r="O240" s="466"/>
      <c r="P240" s="369"/>
      <c r="Q240" s="369"/>
      <c r="R240" s="369"/>
      <c r="S240" s="369"/>
      <c r="T240" s="369"/>
      <c r="U240" s="369"/>
      <c r="V240" s="369"/>
      <c r="W240" s="367"/>
      <c r="X240" s="635"/>
      <c r="Y240" s="635"/>
    </row>
    <row r="241" spans="1:157" ht="15" customHeight="1">
      <c r="C241" s="367"/>
      <c r="D241" s="367"/>
      <c r="E241" s="949" t="s">
        <v>251</v>
      </c>
      <c r="F241" s="949"/>
      <c r="G241" s="949"/>
      <c r="H241" s="949"/>
      <c r="I241" s="949"/>
      <c r="J241" s="949"/>
      <c r="K241" s="369"/>
      <c r="L241" s="405">
        <v>2.85</v>
      </c>
      <c r="M241" s="369"/>
      <c r="N241" s="369"/>
      <c r="O241" s="466"/>
      <c r="P241" s="369"/>
      <c r="Q241" s="369"/>
      <c r="R241" s="369"/>
      <c r="S241" s="369"/>
      <c r="T241" s="369"/>
      <c r="U241" s="369"/>
      <c r="V241" s="369"/>
      <c r="W241" s="367"/>
      <c r="X241" s="635"/>
      <c r="Y241" s="635"/>
    </row>
    <row r="242" spans="1:157" ht="15" customHeight="1">
      <c r="C242" s="367"/>
      <c r="D242" s="367"/>
      <c r="E242" s="949" t="s">
        <v>260</v>
      </c>
      <c r="F242" s="949"/>
      <c r="G242" s="949"/>
      <c r="H242" s="949"/>
      <c r="I242" s="949"/>
      <c r="J242" s="949"/>
      <c r="K242" s="369"/>
      <c r="L242" s="405">
        <v>5</v>
      </c>
      <c r="M242" s="369"/>
      <c r="N242" s="369"/>
      <c r="O242" s="466"/>
      <c r="P242" s="369"/>
      <c r="Q242" s="369"/>
      <c r="R242" s="369"/>
      <c r="S242" s="369"/>
      <c r="T242" s="369"/>
      <c r="U242" s="369"/>
      <c r="V242" s="369"/>
      <c r="W242" s="367"/>
      <c r="X242" s="635"/>
      <c r="Y242" s="635"/>
    </row>
    <row r="243" spans="1:157" ht="15" customHeight="1">
      <c r="C243" s="367"/>
      <c r="D243" s="367"/>
      <c r="E243" s="940" t="s">
        <v>261</v>
      </c>
      <c r="F243" s="940"/>
      <c r="G243" s="940"/>
      <c r="H243" s="940"/>
      <c r="I243" s="940"/>
      <c r="J243" s="940"/>
      <c r="K243" s="369"/>
      <c r="L243" s="405">
        <v>2.5</v>
      </c>
      <c r="M243" s="369"/>
      <c r="N243" s="369"/>
      <c r="O243" s="466"/>
      <c r="P243" s="369"/>
      <c r="Q243" s="369"/>
      <c r="R243" s="369"/>
      <c r="S243" s="369"/>
      <c r="T243" s="369"/>
      <c r="U243" s="467"/>
      <c r="V243" s="369"/>
      <c r="W243" s="367"/>
      <c r="X243" s="635"/>
      <c r="Y243" s="635"/>
      <c r="AH243" s="296">
        <f>P50</f>
        <v>2.4999999999999985E-6</v>
      </c>
      <c r="AI243" s="296"/>
      <c r="AJ243" s="296"/>
      <c r="AK243" s="296"/>
      <c r="AL243" s="296"/>
      <c r="AM243" s="296"/>
      <c r="AN243" s="631">
        <f>IF(AS243&gt;0,1,0)</f>
        <v>1</v>
      </c>
      <c r="AO243" s="631">
        <f>IF(AH243&gt;999999,0,1)</f>
        <v>1</v>
      </c>
      <c r="AP243" s="631">
        <f>IF(BU51&gt;5,0,1)</f>
        <v>1</v>
      </c>
      <c r="AS243" s="631">
        <f>AO243+AP243</f>
        <v>2</v>
      </c>
    </row>
    <row r="244" spans="1:157" ht="15" customHeight="1">
      <c r="C244" s="367"/>
      <c r="D244" s="367"/>
      <c r="E244" s="940" t="s">
        <v>263</v>
      </c>
      <c r="F244" s="940"/>
      <c r="G244" s="940"/>
      <c r="H244" s="940"/>
      <c r="I244" s="940"/>
      <c r="J244" s="940"/>
      <c r="K244" s="369"/>
      <c r="L244" s="405">
        <v>3.5</v>
      </c>
      <c r="M244" s="369"/>
      <c r="N244" s="369"/>
      <c r="O244" s="466"/>
      <c r="P244" s="369"/>
      <c r="Q244" s="369"/>
      <c r="R244" s="369"/>
      <c r="S244" s="369"/>
      <c r="T244" s="369"/>
      <c r="U244" s="467"/>
      <c r="V244" s="369"/>
      <c r="W244" s="367"/>
      <c r="X244" s="635"/>
      <c r="Y244" s="635"/>
      <c r="AH244" s="296"/>
      <c r="AI244" s="296"/>
      <c r="AJ244" s="296"/>
      <c r="AK244" s="296"/>
      <c r="AL244" s="296"/>
      <c r="AM244" s="296"/>
    </row>
    <row r="245" spans="1:157" ht="15" customHeight="1">
      <c r="C245" s="367"/>
      <c r="D245" s="367"/>
      <c r="E245" s="940"/>
      <c r="F245" s="940"/>
      <c r="G245" s="940"/>
      <c r="H245" s="940"/>
      <c r="I245" s="940"/>
      <c r="J245" s="940"/>
      <c r="K245" s="369"/>
      <c r="L245" s="405"/>
      <c r="M245" s="369"/>
      <c r="N245" s="369"/>
      <c r="O245" s="466"/>
      <c r="P245" s="369"/>
      <c r="Q245" s="369"/>
      <c r="R245" s="369"/>
      <c r="S245" s="369"/>
      <c r="T245" s="369"/>
      <c r="U245" s="467"/>
      <c r="V245" s="369"/>
      <c r="W245" s="367"/>
      <c r="X245" s="635"/>
      <c r="Y245" s="635"/>
      <c r="AH245" s="296"/>
      <c r="AI245" s="296"/>
      <c r="AJ245" s="296"/>
      <c r="AK245" s="296"/>
      <c r="AL245" s="296"/>
      <c r="AM245" s="296"/>
    </row>
    <row r="246" spans="1:157" ht="15" customHeight="1">
      <c r="C246" s="367"/>
      <c r="D246" s="367"/>
      <c r="E246" s="940"/>
      <c r="F246" s="940"/>
      <c r="G246" s="940"/>
      <c r="H246" s="940"/>
      <c r="I246" s="940"/>
      <c r="J246" s="940"/>
      <c r="K246" s="369"/>
      <c r="L246" s="405"/>
      <c r="M246" s="369"/>
      <c r="N246" s="369"/>
      <c r="O246" s="466"/>
      <c r="P246" s="369"/>
      <c r="Q246" s="369"/>
      <c r="R246" s="369"/>
      <c r="S246" s="369"/>
      <c r="T246" s="369"/>
      <c r="U246" s="467"/>
      <c r="V246" s="369"/>
      <c r="W246" s="367"/>
      <c r="X246" s="635"/>
      <c r="Y246" s="635"/>
      <c r="AH246" s="296"/>
      <c r="AI246" s="296"/>
      <c r="AJ246" s="296"/>
      <c r="AK246" s="296"/>
      <c r="AL246" s="296"/>
      <c r="AM246" s="296"/>
    </row>
    <row r="247" spans="1:157" ht="30" customHeight="1" thickBot="1">
      <c r="C247" s="367"/>
      <c r="D247" s="367"/>
      <c r="E247" s="488"/>
      <c r="F247" s="488"/>
      <c r="G247" s="488"/>
      <c r="H247" s="488" t="s">
        <v>329</v>
      </c>
      <c r="I247" s="488"/>
      <c r="J247" s="488"/>
      <c r="K247" s="369"/>
      <c r="L247" s="489"/>
      <c r="M247" s="369"/>
      <c r="N247" s="369"/>
      <c r="O247" s="466"/>
      <c r="P247" s="369"/>
      <c r="Q247" s="369"/>
      <c r="R247" s="369"/>
      <c r="S247" s="369"/>
      <c r="T247" s="369"/>
      <c r="U247" s="467"/>
      <c r="V247" s="369"/>
      <c r="W247" s="367"/>
      <c r="X247" s="635"/>
      <c r="Y247" s="635"/>
      <c r="AH247" s="296"/>
      <c r="AI247" s="296"/>
      <c r="AJ247" s="296"/>
      <c r="AK247" s="296"/>
      <c r="AL247" s="296"/>
      <c r="AM247" s="296"/>
    </row>
    <row r="248" spans="1:157">
      <c r="C248" s="367"/>
      <c r="D248" s="367"/>
      <c r="E248" s="367"/>
      <c r="F248" s="367"/>
      <c r="G248" s="367"/>
      <c r="H248" s="941">
        <v>-0.75</v>
      </c>
      <c r="I248" s="367"/>
      <c r="J248" s="367"/>
      <c r="K248" s="367"/>
      <c r="L248" s="367"/>
      <c r="M248" s="367"/>
      <c r="N248" s="367"/>
      <c r="O248" s="468"/>
      <c r="P248" s="367"/>
      <c r="Q248" s="367"/>
      <c r="R248" s="367"/>
      <c r="S248" s="367"/>
      <c r="T248" s="367"/>
      <c r="U248" s="367"/>
      <c r="V248" s="367"/>
      <c r="W248" s="367"/>
      <c r="X248" s="635"/>
      <c r="Y248" s="635"/>
      <c r="Z248" s="634" t="s">
        <v>328</v>
      </c>
      <c r="AH248" s="632" t="s">
        <v>265</v>
      </c>
    </row>
    <row r="249" spans="1:157" ht="8.25" customHeight="1" thickBot="1">
      <c r="H249" s="942"/>
      <c r="I249" s="370"/>
    </row>
    <row r="250" spans="1:157" s="374" customFormat="1" ht="145.5" customHeight="1" thickBot="1">
      <c r="A250" s="371"/>
      <c r="B250" s="372" t="str">
        <f>[1]APPLICATION!F13</f>
        <v>N</v>
      </c>
      <c r="C250" s="373">
        <f>MAX((BU51-1),0)*-0.1</f>
        <v>0</v>
      </c>
      <c r="E250" s="439" t="s">
        <v>181</v>
      </c>
      <c r="F250" s="439" t="s">
        <v>360</v>
      </c>
      <c r="G250" s="439" t="s">
        <v>170</v>
      </c>
      <c r="H250" s="511" t="s">
        <v>330</v>
      </c>
      <c r="I250" s="512" t="s">
        <v>180</v>
      </c>
      <c r="J250" s="439" t="s">
        <v>629</v>
      </c>
      <c r="K250" s="512" t="s">
        <v>327</v>
      </c>
      <c r="L250" s="508" t="s">
        <v>630</v>
      </c>
      <c r="M250" s="724"/>
      <c r="N250" s="509" t="s">
        <v>357</v>
      </c>
      <c r="O250" s="439" t="s">
        <v>358</v>
      </c>
      <c r="P250" s="439" t="s">
        <v>359</v>
      </c>
      <c r="Q250" s="439" t="s">
        <v>171</v>
      </c>
      <c r="R250" s="439" t="s">
        <v>631</v>
      </c>
      <c r="S250" s="439" t="s">
        <v>172</v>
      </c>
      <c r="T250" s="724"/>
      <c r="U250" s="439" t="s">
        <v>632</v>
      </c>
      <c r="V250" s="376"/>
      <c r="W250" s="440" t="s">
        <v>169</v>
      </c>
      <c r="Y250" s="486" t="s">
        <v>309</v>
      </c>
      <c r="Z250" s="490">
        <v>0.6</v>
      </c>
      <c r="AA250" s="377"/>
      <c r="AB250" s="629"/>
      <c r="AC250" s="725"/>
      <c r="AD250" s="378" t="s">
        <v>155</v>
      </c>
      <c r="AE250" s="378"/>
      <c r="AF250" s="378"/>
      <c r="AG250" s="379"/>
      <c r="AH250" s="654" t="s">
        <v>266</v>
      </c>
      <c r="AI250" s="507" t="s">
        <v>331</v>
      </c>
      <c r="AJ250" s="507" t="s">
        <v>332</v>
      </c>
      <c r="AK250" s="507" t="s">
        <v>333</v>
      </c>
      <c r="AL250" s="507" t="s">
        <v>337</v>
      </c>
      <c r="AM250" s="507" t="s">
        <v>337</v>
      </c>
      <c r="AN250" s="507" t="s">
        <v>337</v>
      </c>
      <c r="AO250" s="654" t="s">
        <v>267</v>
      </c>
      <c r="AP250" s="654" t="s">
        <v>268</v>
      </c>
      <c r="AQ250" s="654" t="s">
        <v>311</v>
      </c>
      <c r="AR250" s="654" t="s">
        <v>269</v>
      </c>
      <c r="AS250" s="654" t="s">
        <v>270</v>
      </c>
      <c r="AT250" s="654" t="s">
        <v>271</v>
      </c>
      <c r="AU250" s="654" t="s">
        <v>272</v>
      </c>
      <c r="AV250" s="654" t="s">
        <v>286</v>
      </c>
      <c r="AW250" s="507" t="s">
        <v>334</v>
      </c>
      <c r="AX250" s="507" t="s">
        <v>335</v>
      </c>
      <c r="AY250" s="507" t="s">
        <v>336</v>
      </c>
      <c r="AZ250" s="507" t="s">
        <v>337</v>
      </c>
      <c r="BA250" s="507" t="s">
        <v>337</v>
      </c>
      <c r="BB250" s="654" t="s">
        <v>2</v>
      </c>
      <c r="BC250" s="654" t="s">
        <v>2</v>
      </c>
      <c r="BD250" s="654" t="s">
        <v>273</v>
      </c>
      <c r="BE250" s="654" t="s">
        <v>274</v>
      </c>
      <c r="BF250" s="654" t="s">
        <v>275</v>
      </c>
      <c r="BG250" s="654" t="s">
        <v>276</v>
      </c>
      <c r="BH250" s="654" t="s">
        <v>277</v>
      </c>
      <c r="BI250" s="507" t="s">
        <v>338</v>
      </c>
      <c r="BJ250" s="507" t="s">
        <v>337</v>
      </c>
      <c r="BK250" s="507" t="s">
        <v>337</v>
      </c>
      <c r="BL250" s="507" t="s">
        <v>337</v>
      </c>
      <c r="BM250" s="507" t="s">
        <v>337</v>
      </c>
      <c r="BN250" s="507" t="s">
        <v>337</v>
      </c>
      <c r="BO250" s="507" t="s">
        <v>337</v>
      </c>
      <c r="BP250" s="654" t="s">
        <v>278</v>
      </c>
      <c r="BQ250" s="654" t="s">
        <v>279</v>
      </c>
      <c r="BR250" s="654" t="s">
        <v>280</v>
      </c>
      <c r="BS250" s="654" t="s">
        <v>281</v>
      </c>
      <c r="BT250" s="654" t="s">
        <v>282</v>
      </c>
      <c r="BU250" s="654" t="s">
        <v>283</v>
      </c>
      <c r="BV250" s="654" t="s">
        <v>284</v>
      </c>
      <c r="BW250" s="654" t="s">
        <v>285</v>
      </c>
      <c r="BX250" s="654" t="s">
        <v>308</v>
      </c>
      <c r="BY250" s="507" t="s">
        <v>339</v>
      </c>
      <c r="BZ250" s="507" t="s">
        <v>340</v>
      </c>
      <c r="CA250" s="507" t="s">
        <v>341</v>
      </c>
      <c r="CB250" s="507" t="s">
        <v>342</v>
      </c>
      <c r="CC250" s="507" t="s">
        <v>343</v>
      </c>
      <c r="CD250" s="507" t="s">
        <v>344</v>
      </c>
      <c r="CE250" s="507" t="s">
        <v>345</v>
      </c>
      <c r="CF250" s="507" t="s">
        <v>308</v>
      </c>
      <c r="CG250" s="507" t="s">
        <v>346</v>
      </c>
      <c r="CH250" s="507" t="s">
        <v>347</v>
      </c>
      <c r="CI250" s="507" t="s">
        <v>348</v>
      </c>
      <c r="CJ250" s="507" t="s">
        <v>349</v>
      </c>
      <c r="CK250" s="507" t="s">
        <v>337</v>
      </c>
      <c r="CL250" s="507" t="s">
        <v>337</v>
      </c>
      <c r="CM250" s="654"/>
      <c r="CN250" s="654" t="s">
        <v>287</v>
      </c>
      <c r="CO250" s="654" t="s">
        <v>288</v>
      </c>
      <c r="CP250" s="654" t="s">
        <v>289</v>
      </c>
      <c r="CQ250" s="507" t="s">
        <v>337</v>
      </c>
      <c r="CR250" s="507" t="s">
        <v>337</v>
      </c>
      <c r="CS250" s="654" t="s">
        <v>290</v>
      </c>
      <c r="CT250" s="654" t="s">
        <v>291</v>
      </c>
      <c r="CU250" s="654" t="s">
        <v>292</v>
      </c>
      <c r="CV250" s="654" t="s">
        <v>293</v>
      </c>
      <c r="CW250" s="654" t="s">
        <v>294</v>
      </c>
      <c r="CX250" s="654" t="s">
        <v>295</v>
      </c>
      <c r="CY250" s="654" t="s">
        <v>296</v>
      </c>
      <c r="CZ250" s="507" t="s">
        <v>337</v>
      </c>
      <c r="DA250" s="507" t="s">
        <v>337</v>
      </c>
      <c r="DB250" s="654" t="s">
        <v>297</v>
      </c>
      <c r="DC250" s="654" t="s">
        <v>298</v>
      </c>
      <c r="DD250" s="654" t="s">
        <v>299</v>
      </c>
      <c r="DE250" s="654" t="s">
        <v>300</v>
      </c>
      <c r="DF250" s="654" t="s">
        <v>301</v>
      </c>
      <c r="DG250" s="654" t="s">
        <v>302</v>
      </c>
      <c r="DH250" s="654" t="s">
        <v>303</v>
      </c>
      <c r="DI250" s="654" t="s">
        <v>304</v>
      </c>
      <c r="DJ250" s="654" t="s">
        <v>306</v>
      </c>
      <c r="DK250" s="654" t="s">
        <v>305</v>
      </c>
      <c r="DL250" s="654" t="s">
        <v>310</v>
      </c>
      <c r="DM250" s="507" t="s">
        <v>350</v>
      </c>
      <c r="DN250" s="507" t="s">
        <v>351</v>
      </c>
      <c r="DO250" s="507" t="s">
        <v>352</v>
      </c>
      <c r="DP250" s="507" t="s">
        <v>353</v>
      </c>
      <c r="DQ250" s="507" t="s">
        <v>354</v>
      </c>
      <c r="DR250" s="507" t="s">
        <v>355</v>
      </c>
      <c r="DS250" s="507" t="s">
        <v>356</v>
      </c>
      <c r="DT250" s="507" t="s">
        <v>348</v>
      </c>
      <c r="DU250" s="507" t="s">
        <v>337</v>
      </c>
      <c r="DV250" s="654"/>
      <c r="DW250" s="654"/>
      <c r="DX250" s="654" t="s">
        <v>2</v>
      </c>
      <c r="DY250" s="473" t="s">
        <v>307</v>
      </c>
      <c r="DZ250" s="726"/>
      <c r="EA250" s="478" t="s">
        <v>307</v>
      </c>
      <c r="EB250" s="654" t="s">
        <v>2</v>
      </c>
      <c r="EC250" s="654" t="s">
        <v>2</v>
      </c>
      <c r="ED250" s="654" t="s">
        <v>2</v>
      </c>
      <c r="EE250" s="654" t="s">
        <v>2</v>
      </c>
      <c r="EF250" s="654" t="s">
        <v>2</v>
      </c>
      <c r="EG250" s="478" t="s">
        <v>312</v>
      </c>
      <c r="EH250" s="654" t="s">
        <v>317</v>
      </c>
      <c r="EI250" s="654" t="s">
        <v>318</v>
      </c>
      <c r="EJ250" s="654" t="s">
        <v>319</v>
      </c>
      <c r="EK250" s="654" t="s">
        <v>320</v>
      </c>
      <c r="EL250" s="473" t="s">
        <v>314</v>
      </c>
      <c r="EM250" s="473"/>
      <c r="EN250" s="654" t="s">
        <v>321</v>
      </c>
      <c r="EO250" s="654" t="s">
        <v>322</v>
      </c>
      <c r="EP250" s="473" t="s">
        <v>315</v>
      </c>
      <c r="EQ250" s="654" t="s">
        <v>2</v>
      </c>
      <c r="ER250" s="654" t="s">
        <v>323</v>
      </c>
      <c r="ES250" s="473" t="s">
        <v>316</v>
      </c>
      <c r="ET250" s="654" t="s">
        <v>324</v>
      </c>
      <c r="EU250" s="654" t="s">
        <v>325</v>
      </c>
      <c r="EV250" s="654" t="s">
        <v>326</v>
      </c>
      <c r="EW250" s="478" t="s">
        <v>313</v>
      </c>
      <c r="EX250" s="654" t="s">
        <v>2</v>
      </c>
      <c r="EY250" s="654" t="s">
        <v>2</v>
      </c>
      <c r="EZ250" s="654" t="s">
        <v>2</v>
      </c>
      <c r="FA250" s="654" t="s">
        <v>2</v>
      </c>
    </row>
    <row r="251" spans="1:157" ht="96" hidden="1" customHeight="1">
      <c r="B251" s="381" t="s">
        <v>39</v>
      </c>
      <c r="C251" s="382" t="s">
        <v>40</v>
      </c>
      <c r="E251" s="383">
        <v>-0.1</v>
      </c>
      <c r="F251" s="383">
        <v>-0.1</v>
      </c>
      <c r="G251" s="383">
        <v>-0.15</v>
      </c>
      <c r="H251" s="384" t="s">
        <v>182</v>
      </c>
      <c r="I251" s="385">
        <v>-0.1</v>
      </c>
      <c r="J251" s="384" t="s">
        <v>247</v>
      </c>
      <c r="K251" s="385">
        <v>-0.1</v>
      </c>
      <c r="L251" s="383" t="s">
        <v>2</v>
      </c>
      <c r="M251" s="383"/>
      <c r="N251" s="383" t="s">
        <v>2</v>
      </c>
      <c r="O251" s="386">
        <v>0.1</v>
      </c>
      <c r="P251" s="383" t="s">
        <v>2</v>
      </c>
      <c r="Q251" s="383">
        <v>0.05</v>
      </c>
      <c r="R251" s="383">
        <v>0.2</v>
      </c>
      <c r="S251" s="383">
        <v>0.1</v>
      </c>
      <c r="T251" s="727"/>
      <c r="U251" s="383" t="s">
        <v>2</v>
      </c>
      <c r="V251" s="727"/>
      <c r="W251" s="727"/>
      <c r="Y251" s="388" t="s">
        <v>56</v>
      </c>
      <c r="Z251" s="389" t="s">
        <v>57</v>
      </c>
      <c r="AA251" s="389" t="s">
        <v>73</v>
      </c>
      <c r="AC251" s="390"/>
      <c r="AD251" s="391">
        <f>[1]APPLICATION!Y21</f>
        <v>20000</v>
      </c>
      <c r="AE251" s="391"/>
      <c r="AF251" s="391"/>
      <c r="BC251" s="631" t="s">
        <v>233</v>
      </c>
      <c r="BD251" s="633" t="s">
        <v>253</v>
      </c>
      <c r="BQ251" s="633" t="s">
        <v>234</v>
      </c>
      <c r="BR251" s="633" t="s">
        <v>235</v>
      </c>
      <c r="BS251" s="633" t="s">
        <v>236</v>
      </c>
      <c r="BT251" s="633" t="s">
        <v>237</v>
      </c>
      <c r="BU251" s="633" t="s">
        <v>238</v>
      </c>
      <c r="DX251" s="633" t="s">
        <v>239</v>
      </c>
      <c r="DY251" s="281" t="s">
        <v>240</v>
      </c>
      <c r="EB251" s="728" t="s">
        <v>241</v>
      </c>
      <c r="EC251" s="728" t="s">
        <v>242</v>
      </c>
      <c r="ED251" s="728" t="s">
        <v>243</v>
      </c>
      <c r="EE251" s="728" t="s">
        <v>244</v>
      </c>
      <c r="EL251" s="633" t="s">
        <v>245</v>
      </c>
      <c r="EO251" s="630" t="s">
        <v>246</v>
      </c>
    </row>
    <row r="252" spans="1:157" ht="5.25" customHeight="1">
      <c r="H252" s="694" t="s">
        <v>2</v>
      </c>
      <c r="J252" s="694" t="s">
        <v>2</v>
      </c>
      <c r="S252" s="634" t="s">
        <v>2</v>
      </c>
      <c r="Z252" s="394"/>
      <c r="DY252" s="281"/>
    </row>
    <row r="253" spans="1:157" ht="15" customHeight="1">
      <c r="A253" s="244">
        <f>IF(C253=2.5,0,-0.05)</f>
        <v>-0.05</v>
      </c>
      <c r="B253" s="637">
        <v>1</v>
      </c>
      <c r="C253" s="644">
        <f>DY253</f>
        <v>0</v>
      </c>
      <c r="D253" s="628">
        <f t="shared" ref="D253:D277" si="23">IF(C24&gt;0,1,0)</f>
        <v>0</v>
      </c>
      <c r="E253" s="645">
        <f>IF(B250="y",-0.2,0)</f>
        <v>0</v>
      </c>
      <c r="F253" s="645">
        <f>([1]APPLICATION!AA21)+A253</f>
        <v>-0.05</v>
      </c>
      <c r="G253" s="645">
        <f t="shared" ref="G253:G277" si="24">EP24/100</f>
        <v>0</v>
      </c>
      <c r="H253" s="443">
        <f>MAX(H248,(MAX(C250,-1)))</f>
        <v>0</v>
      </c>
      <c r="I253" s="645">
        <f>IF(N15=0,-0.1,0)</f>
        <v>-0.1</v>
      </c>
      <c r="J253" s="646">
        <f t="shared" ref="J253:J277" si="25">(R24-EW253)/1000*-0.02</f>
        <v>0</v>
      </c>
      <c r="K253" s="645">
        <f>IF([1]APPLICATION!S21="N",-0.2,0)</f>
        <v>0</v>
      </c>
      <c r="L253" s="454">
        <v>0</v>
      </c>
      <c r="N253" s="454">
        <v>0</v>
      </c>
      <c r="O253" s="645">
        <f t="shared" ref="O253:P277" si="26">IF(U24="y",0.15,0)</f>
        <v>0</v>
      </c>
      <c r="P253" s="645">
        <f t="shared" si="26"/>
        <v>0</v>
      </c>
      <c r="Q253" s="645">
        <f t="shared" ref="Q253:Q277" si="27">ED24</f>
        <v>0</v>
      </c>
      <c r="R253" s="646">
        <f>AN24</f>
        <v>0</v>
      </c>
      <c r="S253" s="646">
        <f>IF($N$15&gt;0,0.1,0)</f>
        <v>0</v>
      </c>
      <c r="T253" s="399"/>
      <c r="U253" s="662">
        <f>IF(AND(X24="y",C253&gt;0),10,0)</f>
        <v>0</v>
      </c>
      <c r="V253" s="637" t="str">
        <f>IF((C253=3.5),"y","")</f>
        <v/>
      </c>
      <c r="W253" s="476">
        <f>SUM(E253:S253)</f>
        <v>-0.15000000000000002</v>
      </c>
      <c r="X253" s="576">
        <f>MAX(Z253,C253+W253)</f>
        <v>0</v>
      </c>
      <c r="Y253" s="475">
        <f>MAX(Z253,C253+W253)</f>
        <v>0</v>
      </c>
      <c r="Z253" s="475">
        <f>IF(P24&gt;1,$Z$250,0)</f>
        <v>0</v>
      </c>
      <c r="AA253" s="395">
        <v>0</v>
      </c>
      <c r="AC253" s="729"/>
      <c r="AD253" s="396">
        <f>IF($AD$251=30000,750,0)</f>
        <v>0</v>
      </c>
      <c r="AE253" s="396"/>
      <c r="AF253" s="396"/>
      <c r="AH253" s="653">
        <f t="shared" ref="AH253:AK268" si="28">(IF($G24=$AH$250,$L$242,0))</f>
        <v>0</v>
      </c>
      <c r="AI253" s="653">
        <f t="shared" si="28"/>
        <v>0</v>
      </c>
      <c r="AJ253" s="653">
        <f t="shared" si="28"/>
        <v>0</v>
      </c>
      <c r="AK253" s="653">
        <f t="shared" si="28"/>
        <v>0</v>
      </c>
      <c r="AL253" s="653"/>
      <c r="AM253" s="653"/>
      <c r="AN253" s="653"/>
      <c r="AO253" s="653">
        <f t="shared" ref="AO253:AY268" si="29">(IF($G24=AO$250,$L$237,0))</f>
        <v>0</v>
      </c>
      <c r="AP253" s="653">
        <f t="shared" si="29"/>
        <v>0</v>
      </c>
      <c r="AQ253" s="653">
        <f t="shared" si="29"/>
        <v>0</v>
      </c>
      <c r="AR253" s="653">
        <f t="shared" si="29"/>
        <v>0</v>
      </c>
      <c r="AS253" s="653">
        <f t="shared" si="29"/>
        <v>0</v>
      </c>
      <c r="AT253" s="653">
        <f t="shared" si="29"/>
        <v>0</v>
      </c>
      <c r="AU253" s="653">
        <f t="shared" si="29"/>
        <v>0</v>
      </c>
      <c r="AV253" s="653">
        <f t="shared" si="29"/>
        <v>0</v>
      </c>
      <c r="AW253" s="653">
        <f t="shared" si="29"/>
        <v>0</v>
      </c>
      <c r="AX253" s="653">
        <f t="shared" si="29"/>
        <v>0</v>
      </c>
      <c r="AY253" s="653">
        <f t="shared" si="29"/>
        <v>0</v>
      </c>
      <c r="AZ253" s="653"/>
      <c r="BA253" s="653"/>
      <c r="BB253" s="653" t="s">
        <v>2</v>
      </c>
      <c r="BC253" s="653"/>
      <c r="BD253" s="653">
        <f t="shared" ref="BD253:BM268" si="30">(IF($G24=BD$250,$L$241,0))</f>
        <v>0</v>
      </c>
      <c r="BE253" s="653">
        <f t="shared" si="30"/>
        <v>0</v>
      </c>
      <c r="BF253" s="653">
        <f t="shared" si="30"/>
        <v>0</v>
      </c>
      <c r="BG253" s="653">
        <f t="shared" si="30"/>
        <v>0</v>
      </c>
      <c r="BH253" s="653">
        <f t="shared" si="30"/>
        <v>0</v>
      </c>
      <c r="BI253" s="653">
        <f t="shared" si="30"/>
        <v>0</v>
      </c>
      <c r="BJ253" s="653">
        <f t="shared" si="30"/>
        <v>0</v>
      </c>
      <c r="BK253" s="653">
        <f t="shared" si="30"/>
        <v>0</v>
      </c>
      <c r="BL253" s="653">
        <f t="shared" si="30"/>
        <v>0</v>
      </c>
      <c r="BM253" s="653">
        <f t="shared" si="30"/>
        <v>0</v>
      </c>
      <c r="BN253" s="470"/>
      <c r="BO253" s="470"/>
      <c r="BP253" s="653">
        <f t="shared" ref="BP253:CJ265" si="31">(IF($G24=BP$250,$L$238,0))</f>
        <v>0</v>
      </c>
      <c r="BQ253" s="653">
        <f t="shared" si="31"/>
        <v>0</v>
      </c>
      <c r="BR253" s="653">
        <f t="shared" si="31"/>
        <v>0</v>
      </c>
      <c r="BS253" s="653">
        <f t="shared" si="31"/>
        <v>0</v>
      </c>
      <c r="BT253" s="653">
        <f t="shared" si="31"/>
        <v>0</v>
      </c>
      <c r="BU253" s="653">
        <f t="shared" si="31"/>
        <v>0</v>
      </c>
      <c r="BV253" s="653">
        <f t="shared" si="31"/>
        <v>0</v>
      </c>
      <c r="BW253" s="653">
        <f t="shared" si="31"/>
        <v>0</v>
      </c>
      <c r="BX253" s="653">
        <f t="shared" si="31"/>
        <v>0</v>
      </c>
      <c r="BY253" s="653">
        <f t="shared" si="31"/>
        <v>0</v>
      </c>
      <c r="BZ253" s="653">
        <f t="shared" si="31"/>
        <v>0</v>
      </c>
      <c r="CA253" s="653">
        <f t="shared" si="31"/>
        <v>0</v>
      </c>
      <c r="CB253" s="653">
        <f t="shared" si="31"/>
        <v>0</v>
      </c>
      <c r="CC253" s="653">
        <f t="shared" si="31"/>
        <v>0</v>
      </c>
      <c r="CD253" s="653">
        <f t="shared" si="31"/>
        <v>0</v>
      </c>
      <c r="CE253" s="653">
        <f t="shared" si="31"/>
        <v>0</v>
      </c>
      <c r="CF253" s="653">
        <f t="shared" si="31"/>
        <v>0</v>
      </c>
      <c r="CG253" s="653">
        <f t="shared" si="31"/>
        <v>0</v>
      </c>
      <c r="CH253" s="653">
        <f t="shared" si="31"/>
        <v>0</v>
      </c>
      <c r="CI253" s="653">
        <f t="shared" si="31"/>
        <v>0</v>
      </c>
      <c r="CJ253" s="653">
        <f t="shared" si="31"/>
        <v>0</v>
      </c>
      <c r="CK253" s="653"/>
      <c r="CL253" s="653"/>
      <c r="CM253" s="470"/>
      <c r="CN253" s="653">
        <f t="shared" ref="CN253:CP268" si="32">(IF($G24=CN$250,$L$244,0))</f>
        <v>0</v>
      </c>
      <c r="CO253" s="653">
        <f t="shared" si="32"/>
        <v>0</v>
      </c>
      <c r="CP253" s="653">
        <f t="shared" si="32"/>
        <v>0</v>
      </c>
      <c r="CQ253" s="470"/>
      <c r="CR253" s="470"/>
      <c r="CS253" s="653">
        <f t="shared" ref="CS253:CY268" si="33">(IF($G24=CS$250,$L$243,0))</f>
        <v>0</v>
      </c>
      <c r="CT253" s="653">
        <f t="shared" si="33"/>
        <v>0</v>
      </c>
      <c r="CU253" s="653">
        <f t="shared" si="33"/>
        <v>0</v>
      </c>
      <c r="CV253" s="653">
        <f t="shared" si="33"/>
        <v>0</v>
      </c>
      <c r="CW253" s="653">
        <f t="shared" si="33"/>
        <v>0</v>
      </c>
      <c r="CX253" s="653">
        <f t="shared" si="33"/>
        <v>0</v>
      </c>
      <c r="CY253" s="653">
        <f t="shared" si="33"/>
        <v>0</v>
      </c>
      <c r="CZ253" s="470"/>
      <c r="DA253" s="470"/>
      <c r="DB253" s="653">
        <f t="shared" ref="DB253:DT266" si="34">(IF($G24=DB$250,$L$239,0))</f>
        <v>0</v>
      </c>
      <c r="DC253" s="653">
        <f t="shared" si="34"/>
        <v>0</v>
      </c>
      <c r="DD253" s="653">
        <f t="shared" si="34"/>
        <v>0</v>
      </c>
      <c r="DE253" s="653">
        <f t="shared" si="34"/>
        <v>0</v>
      </c>
      <c r="DF253" s="653">
        <f t="shared" si="34"/>
        <v>0</v>
      </c>
      <c r="DG253" s="653">
        <f t="shared" si="34"/>
        <v>0</v>
      </c>
      <c r="DH253" s="653">
        <f t="shared" si="34"/>
        <v>0</v>
      </c>
      <c r="DI253" s="653">
        <f t="shared" si="34"/>
        <v>0</v>
      </c>
      <c r="DJ253" s="653">
        <f t="shared" si="34"/>
        <v>0</v>
      </c>
      <c r="DK253" s="653">
        <f t="shared" si="34"/>
        <v>0</v>
      </c>
      <c r="DL253" s="653">
        <f t="shared" si="34"/>
        <v>0</v>
      </c>
      <c r="DM253" s="653">
        <f t="shared" si="34"/>
        <v>0</v>
      </c>
      <c r="DN253" s="653">
        <f t="shared" si="34"/>
        <v>0</v>
      </c>
      <c r="DO253" s="653">
        <f t="shared" si="34"/>
        <v>0</v>
      </c>
      <c r="DP253" s="653">
        <f t="shared" si="34"/>
        <v>0</v>
      </c>
      <c r="DQ253" s="653">
        <f t="shared" si="34"/>
        <v>0</v>
      </c>
      <c r="DR253" s="653">
        <f t="shared" si="34"/>
        <v>0</v>
      </c>
      <c r="DS253" s="653">
        <f t="shared" si="34"/>
        <v>0</v>
      </c>
      <c r="DT253" s="653">
        <f t="shared" si="34"/>
        <v>0</v>
      </c>
      <c r="DU253" s="653"/>
      <c r="DV253" s="653"/>
      <c r="DW253" s="470"/>
      <c r="DX253" s="470"/>
      <c r="DY253" s="474">
        <f>SUM(AH253:DX253)</f>
        <v>0</v>
      </c>
      <c r="EA253" s="730">
        <f>DY253</f>
        <v>0</v>
      </c>
      <c r="EG253" s="731">
        <f t="shared" ref="EG253:EG277" si="35">P24</f>
        <v>9.9999999999999995E-8</v>
      </c>
      <c r="EH253" s="655">
        <f>IF(EG253&lt;30000,1500,0)</f>
        <v>1500</v>
      </c>
      <c r="EI253" s="655">
        <f>IF(AND(EG253&gt;29999,EG253&lt;50000),EG253*0.05,0)</f>
        <v>0</v>
      </c>
      <c r="EJ253" s="655">
        <f>IF(AND(EG253&gt;49999,EG253&lt;200000),5000,0)</f>
        <v>0</v>
      </c>
      <c r="EK253" s="655">
        <f>IF(EG253&gt;199999,10000,0)</f>
        <v>0</v>
      </c>
      <c r="EL253" s="655">
        <f>SUM(EH253:EK253)</f>
        <v>1500</v>
      </c>
      <c r="EM253" s="655"/>
      <c r="EN253" s="655">
        <f>IF(EG253&lt;200000,5000,0)</f>
        <v>5000</v>
      </c>
      <c r="EO253" s="655">
        <f>IF(EG253&gt;199999,10000,0)</f>
        <v>0</v>
      </c>
      <c r="EP253" s="655">
        <f>SUM(EN253:EO253)</f>
        <v>5000</v>
      </c>
      <c r="EQ253" s="481"/>
      <c r="ER253" s="655">
        <f>MAX(EG253*0.05,1500)</f>
        <v>1500</v>
      </c>
      <c r="ES253" s="656">
        <f>MIN(ER253,10000)</f>
        <v>1500</v>
      </c>
      <c r="ET253" s="656">
        <f>IF(EA253=$L$237,EL253,0)</f>
        <v>0</v>
      </c>
      <c r="EU253" s="656">
        <f>IF(EA253=$L$241,EP253,0)</f>
        <v>0</v>
      </c>
      <c r="EV253" s="656">
        <f>IF(EA253&lt;$L$241,ES253,0)</f>
        <v>1500</v>
      </c>
      <c r="EW253" s="483">
        <f>SUM(ET253:EV253)</f>
        <v>1500</v>
      </c>
      <c r="EX253" s="398">
        <f>-(EV253-ES253)*0.02/1000</f>
        <v>0</v>
      </c>
      <c r="EY253" s="285" t="str">
        <f t="shared" ref="EY253:EY277" si="36">IF(P24&gt;($U$15*2),"X","")</f>
        <v>X</v>
      </c>
      <c r="EZ253" s="628">
        <f>-C253*0.35</f>
        <v>0</v>
      </c>
      <c r="FA253" s="628">
        <f>MAX(EZ253,EX253)</f>
        <v>0</v>
      </c>
    </row>
    <row r="254" spans="1:157" ht="15" customHeight="1">
      <c r="A254" s="244">
        <f t="shared" ref="A254:A277" si="37">IF(C254=2.5,0,-0.05)</f>
        <v>-0.05</v>
      </c>
      <c r="B254" s="637">
        <v>2</v>
      </c>
      <c r="C254" s="644">
        <f t="shared" ref="C254:C277" si="38">DY254</f>
        <v>0</v>
      </c>
      <c r="D254" s="628">
        <f t="shared" si="23"/>
        <v>0</v>
      </c>
      <c r="E254" s="645">
        <f>E253</f>
        <v>0</v>
      </c>
      <c r="F254" s="645">
        <f>([1]APPLICATION!AA22)+A254</f>
        <v>-0.05</v>
      </c>
      <c r="G254" s="645">
        <f t="shared" si="24"/>
        <v>0</v>
      </c>
      <c r="H254" s="445">
        <f>H253</f>
        <v>0</v>
      </c>
      <c r="I254" s="646">
        <f>I253</f>
        <v>-0.1</v>
      </c>
      <c r="J254" s="646">
        <f t="shared" si="25"/>
        <v>0</v>
      </c>
      <c r="K254" s="645">
        <f>IF([1]APPLICATION!S22="N",-0.2,0)</f>
        <v>0</v>
      </c>
      <c r="L254" s="645">
        <f>L253</f>
        <v>0</v>
      </c>
      <c r="N254" s="645">
        <f>N253</f>
        <v>0</v>
      </c>
      <c r="O254" s="645">
        <f t="shared" si="26"/>
        <v>0</v>
      </c>
      <c r="P254" s="645">
        <f t="shared" si="26"/>
        <v>0</v>
      </c>
      <c r="Q254" s="645">
        <f t="shared" si="27"/>
        <v>0</v>
      </c>
      <c r="R254" s="646">
        <f t="shared" ref="R254:R277" si="39">AN25</f>
        <v>0</v>
      </c>
      <c r="S254" s="646">
        <f>S253</f>
        <v>0</v>
      </c>
      <c r="T254" s="399"/>
      <c r="U254" s="662">
        <f t="shared" ref="U254:U277" si="40">IF(AND(X25="y",C254&gt;0),10,0)</f>
        <v>0</v>
      </c>
      <c r="V254" s="637"/>
      <c r="W254" s="476">
        <f t="shared" ref="W254:W277" si="41">SUM(E254:S254)</f>
        <v>-0.15000000000000002</v>
      </c>
      <c r="Y254" s="475">
        <f t="shared" ref="Y254:Y277" si="42">MAX(Z254,C254+W254)</f>
        <v>0</v>
      </c>
      <c r="Z254" s="475">
        <f t="shared" ref="Z254:Z277" si="43">IF(P25&gt;1,$Z$250,0)</f>
        <v>0</v>
      </c>
      <c r="AA254" s="395">
        <v>0</v>
      </c>
      <c r="AC254" s="729"/>
      <c r="AD254" s="396">
        <f t="shared" ref="AD254:AD277" si="44">IF($AD$251=30000,750,0)</f>
        <v>0</v>
      </c>
      <c r="AE254" s="396"/>
      <c r="AF254" s="396"/>
      <c r="AH254" s="653">
        <f t="shared" si="28"/>
        <v>0</v>
      </c>
      <c r="AI254" s="653">
        <f t="shared" si="28"/>
        <v>0</v>
      </c>
      <c r="AJ254" s="653">
        <f t="shared" si="28"/>
        <v>0</v>
      </c>
      <c r="AK254" s="653">
        <f t="shared" si="28"/>
        <v>0</v>
      </c>
      <c r="AL254" s="653"/>
      <c r="AM254" s="653"/>
      <c r="AN254" s="653"/>
      <c r="AO254" s="653">
        <f t="shared" si="29"/>
        <v>0</v>
      </c>
      <c r="AP254" s="653">
        <f t="shared" si="29"/>
        <v>0</v>
      </c>
      <c r="AQ254" s="653">
        <f t="shared" si="29"/>
        <v>0</v>
      </c>
      <c r="AR254" s="653">
        <f t="shared" si="29"/>
        <v>0</v>
      </c>
      <c r="AS254" s="653">
        <f t="shared" si="29"/>
        <v>0</v>
      </c>
      <c r="AT254" s="653">
        <f t="shared" si="29"/>
        <v>0</v>
      </c>
      <c r="AU254" s="653">
        <f t="shared" si="29"/>
        <v>0</v>
      </c>
      <c r="AV254" s="653">
        <f t="shared" si="29"/>
        <v>0</v>
      </c>
      <c r="AW254" s="653">
        <f t="shared" si="29"/>
        <v>0</v>
      </c>
      <c r="AX254" s="653">
        <f t="shared" si="29"/>
        <v>0</v>
      </c>
      <c r="AY254" s="653">
        <f t="shared" si="29"/>
        <v>0</v>
      </c>
      <c r="AZ254" s="653"/>
      <c r="BA254" s="653"/>
      <c r="BB254" s="653" t="s">
        <v>2</v>
      </c>
      <c r="BC254" s="653"/>
      <c r="BD254" s="653">
        <f t="shared" si="30"/>
        <v>0</v>
      </c>
      <c r="BE254" s="653">
        <f t="shared" si="30"/>
        <v>0</v>
      </c>
      <c r="BF254" s="653">
        <f t="shared" si="30"/>
        <v>0</v>
      </c>
      <c r="BG254" s="653">
        <f t="shared" si="30"/>
        <v>0</v>
      </c>
      <c r="BH254" s="653">
        <f t="shared" si="30"/>
        <v>0</v>
      </c>
      <c r="BI254" s="653">
        <f t="shared" si="30"/>
        <v>0</v>
      </c>
      <c r="BJ254" s="653">
        <f t="shared" si="30"/>
        <v>0</v>
      </c>
      <c r="BK254" s="653">
        <f t="shared" si="30"/>
        <v>0</v>
      </c>
      <c r="BL254" s="653">
        <f t="shared" si="30"/>
        <v>0</v>
      </c>
      <c r="BM254" s="653">
        <f t="shared" si="30"/>
        <v>0</v>
      </c>
      <c r="BN254" s="470"/>
      <c r="BO254" s="470"/>
      <c r="BP254" s="653">
        <f t="shared" si="31"/>
        <v>0</v>
      </c>
      <c r="BQ254" s="653">
        <f t="shared" si="31"/>
        <v>0</v>
      </c>
      <c r="BR254" s="653">
        <f t="shared" si="31"/>
        <v>0</v>
      </c>
      <c r="BS254" s="653">
        <f t="shared" si="31"/>
        <v>0</v>
      </c>
      <c r="BT254" s="653">
        <f t="shared" si="31"/>
        <v>0</v>
      </c>
      <c r="BU254" s="653">
        <f t="shared" si="31"/>
        <v>0</v>
      </c>
      <c r="BV254" s="653">
        <f t="shared" si="31"/>
        <v>0</v>
      </c>
      <c r="BW254" s="653">
        <f t="shared" si="31"/>
        <v>0</v>
      </c>
      <c r="BX254" s="653">
        <f t="shared" si="31"/>
        <v>0</v>
      </c>
      <c r="BY254" s="653">
        <f t="shared" si="31"/>
        <v>0</v>
      </c>
      <c r="BZ254" s="653">
        <f t="shared" si="31"/>
        <v>0</v>
      </c>
      <c r="CA254" s="653">
        <f t="shared" si="31"/>
        <v>0</v>
      </c>
      <c r="CB254" s="653">
        <f t="shared" si="31"/>
        <v>0</v>
      </c>
      <c r="CC254" s="653">
        <f t="shared" si="31"/>
        <v>0</v>
      </c>
      <c r="CD254" s="653">
        <f t="shared" si="31"/>
        <v>0</v>
      </c>
      <c r="CE254" s="653">
        <f t="shared" si="31"/>
        <v>0</v>
      </c>
      <c r="CF254" s="653">
        <f t="shared" si="31"/>
        <v>0</v>
      </c>
      <c r="CG254" s="653">
        <f t="shared" si="31"/>
        <v>0</v>
      </c>
      <c r="CH254" s="653">
        <f t="shared" si="31"/>
        <v>0</v>
      </c>
      <c r="CI254" s="653">
        <f t="shared" si="31"/>
        <v>0</v>
      </c>
      <c r="CJ254" s="653">
        <f t="shared" si="31"/>
        <v>0</v>
      </c>
      <c r="CK254" s="653"/>
      <c r="CL254" s="653"/>
      <c r="CM254" s="470"/>
      <c r="CN254" s="653">
        <f t="shared" si="32"/>
        <v>0</v>
      </c>
      <c r="CO254" s="653">
        <f t="shared" si="32"/>
        <v>0</v>
      </c>
      <c r="CP254" s="653">
        <f t="shared" si="32"/>
        <v>0</v>
      </c>
      <c r="CQ254" s="470"/>
      <c r="CR254" s="470"/>
      <c r="CS254" s="653">
        <f t="shared" si="33"/>
        <v>0</v>
      </c>
      <c r="CT254" s="653">
        <f t="shared" si="33"/>
        <v>0</v>
      </c>
      <c r="CU254" s="653">
        <f t="shared" si="33"/>
        <v>0</v>
      </c>
      <c r="CV254" s="653">
        <f t="shared" si="33"/>
        <v>0</v>
      </c>
      <c r="CW254" s="653">
        <f t="shared" si="33"/>
        <v>0</v>
      </c>
      <c r="CX254" s="653">
        <f t="shared" si="33"/>
        <v>0</v>
      </c>
      <c r="CY254" s="653">
        <f t="shared" si="33"/>
        <v>0</v>
      </c>
      <c r="CZ254" s="470"/>
      <c r="DA254" s="470"/>
      <c r="DB254" s="653">
        <f t="shared" si="34"/>
        <v>0</v>
      </c>
      <c r="DC254" s="653">
        <f t="shared" si="34"/>
        <v>0</v>
      </c>
      <c r="DD254" s="653">
        <f t="shared" si="34"/>
        <v>0</v>
      </c>
      <c r="DE254" s="653">
        <f t="shared" si="34"/>
        <v>0</v>
      </c>
      <c r="DF254" s="653">
        <f t="shared" si="34"/>
        <v>0</v>
      </c>
      <c r="DG254" s="653">
        <f t="shared" si="34"/>
        <v>0</v>
      </c>
      <c r="DH254" s="653">
        <f t="shared" si="34"/>
        <v>0</v>
      </c>
      <c r="DI254" s="653">
        <f t="shared" si="34"/>
        <v>0</v>
      </c>
      <c r="DJ254" s="653">
        <f t="shared" si="34"/>
        <v>0</v>
      </c>
      <c r="DK254" s="653">
        <f t="shared" si="34"/>
        <v>0</v>
      </c>
      <c r="DL254" s="653">
        <f t="shared" si="34"/>
        <v>0</v>
      </c>
      <c r="DM254" s="653">
        <f t="shared" si="34"/>
        <v>0</v>
      </c>
      <c r="DN254" s="653">
        <f t="shared" si="34"/>
        <v>0</v>
      </c>
      <c r="DO254" s="653">
        <f t="shared" si="34"/>
        <v>0</v>
      </c>
      <c r="DP254" s="653">
        <f t="shared" si="34"/>
        <v>0</v>
      </c>
      <c r="DQ254" s="653">
        <f t="shared" si="34"/>
        <v>0</v>
      </c>
      <c r="DR254" s="653">
        <f t="shared" si="34"/>
        <v>0</v>
      </c>
      <c r="DS254" s="653">
        <f t="shared" si="34"/>
        <v>0</v>
      </c>
      <c r="DT254" s="653">
        <f t="shared" si="34"/>
        <v>0</v>
      </c>
      <c r="DU254" s="653"/>
      <c r="DV254" s="653"/>
      <c r="DW254" s="470"/>
      <c r="DX254" s="470"/>
      <c r="DY254" s="474">
        <f t="shared" ref="DY254:DY277" si="45">SUM(AH254:DX254)</f>
        <v>0</v>
      </c>
      <c r="EA254" s="730">
        <f t="shared" ref="EA254:EA277" si="46">DY254</f>
        <v>0</v>
      </c>
      <c r="EG254" s="731">
        <f t="shared" si="35"/>
        <v>9.9999999999999995E-8</v>
      </c>
      <c r="EH254" s="655">
        <f t="shared" ref="EH254:EH277" si="47">IF(EG254&lt;30000,1500,0)</f>
        <v>1500</v>
      </c>
      <c r="EI254" s="655">
        <f t="shared" ref="EI254:EI277" si="48">IF(AND(EG254&gt;29999,EG254&lt;50000),EG254*0.05,0)</f>
        <v>0</v>
      </c>
      <c r="EJ254" s="655">
        <f t="shared" ref="EJ254:EJ277" si="49">IF(AND(EG254&gt;49999,EG254&lt;200000),5000,0)</f>
        <v>0</v>
      </c>
      <c r="EK254" s="655">
        <f t="shared" ref="EK254:EK277" si="50">IF(EG254&gt;199999,10000,0)</f>
        <v>0</v>
      </c>
      <c r="EL254" s="655">
        <f t="shared" ref="EL254:EL277" si="51">SUM(EH254:EK254)</f>
        <v>1500</v>
      </c>
      <c r="EM254" s="655"/>
      <c r="EN254" s="655">
        <f t="shared" ref="EN254:EN277" si="52">IF(EG254&lt;200000,5000,0)</f>
        <v>5000</v>
      </c>
      <c r="EO254" s="655">
        <f t="shared" ref="EO254:EO277" si="53">IF(EG254&gt;199999,10000,0)</f>
        <v>0</v>
      </c>
      <c r="EP254" s="655">
        <f t="shared" ref="EP254:EP277" si="54">SUM(EN254:EO254)</f>
        <v>5000</v>
      </c>
      <c r="EQ254" s="481"/>
      <c r="ER254" s="655">
        <f t="shared" ref="ER254:ER277" si="55">MAX(EG254*0.05,1500)</f>
        <v>1500</v>
      </c>
      <c r="ES254" s="656">
        <f t="shared" ref="ES254:ES277" si="56">MIN(ER254,10000)</f>
        <v>1500</v>
      </c>
      <c r="ET254" s="656">
        <f t="shared" ref="ET254:ET277" si="57">IF(EA254=$L$237,EL254,0)</f>
        <v>0</v>
      </c>
      <c r="EU254" s="656">
        <f t="shared" ref="EU254:EU277" si="58">IF(EA254=$L$241,EP254,0)</f>
        <v>0</v>
      </c>
      <c r="EV254" s="656">
        <f t="shared" ref="EV254:EV277" si="59">IF(EA254&lt;$L$241,ES254,0)</f>
        <v>1500</v>
      </c>
      <c r="EW254" s="483">
        <f t="shared" ref="EW254:EW277" si="60">SUM(ET254:EV254)</f>
        <v>1500</v>
      </c>
      <c r="EX254" s="398">
        <f t="shared" ref="EX254:EX277" si="61">-(EV254-ES254)*0.02/1000</f>
        <v>0</v>
      </c>
      <c r="EY254" s="285" t="str">
        <f t="shared" si="36"/>
        <v>X</v>
      </c>
      <c r="EZ254" s="628">
        <f t="shared" ref="EZ254:EZ277" si="62">-C254*0.35</f>
        <v>0</v>
      </c>
      <c r="FA254" s="628">
        <f t="shared" ref="FA254:FA277" si="63">MAX(EZ254,EX254)</f>
        <v>0</v>
      </c>
    </row>
    <row r="255" spans="1:157" ht="15" customHeight="1">
      <c r="A255" s="244">
        <f t="shared" si="37"/>
        <v>-0.05</v>
      </c>
      <c r="B255" s="637">
        <v>3</v>
      </c>
      <c r="C255" s="644">
        <f t="shared" si="38"/>
        <v>0</v>
      </c>
      <c r="D255" s="628">
        <f t="shared" si="23"/>
        <v>0</v>
      </c>
      <c r="E255" s="645">
        <f t="shared" ref="E255:E277" si="64">E254</f>
        <v>0</v>
      </c>
      <c r="F255" s="645">
        <f>([1]APPLICATION!AA23)+A255</f>
        <v>-0.05</v>
      </c>
      <c r="G255" s="645">
        <f t="shared" si="24"/>
        <v>0</v>
      </c>
      <c r="H255" s="445">
        <f t="shared" ref="H255:I270" si="65">H254</f>
        <v>0</v>
      </c>
      <c r="I255" s="646">
        <f>I254</f>
        <v>-0.1</v>
      </c>
      <c r="J255" s="646">
        <f t="shared" si="25"/>
        <v>0</v>
      </c>
      <c r="K255" s="645">
        <f>IF([1]APPLICATION!S23="N",-0.2,0)</f>
        <v>0</v>
      </c>
      <c r="L255" s="645">
        <f t="shared" ref="L255:L277" si="66">L254</f>
        <v>0</v>
      </c>
      <c r="N255" s="645">
        <f t="shared" ref="N255:N277" si="67">N254</f>
        <v>0</v>
      </c>
      <c r="O255" s="645">
        <f t="shared" si="26"/>
        <v>0</v>
      </c>
      <c r="P255" s="645">
        <f t="shared" si="26"/>
        <v>0</v>
      </c>
      <c r="Q255" s="645">
        <f t="shared" si="27"/>
        <v>0</v>
      </c>
      <c r="R255" s="646">
        <f t="shared" si="39"/>
        <v>0</v>
      </c>
      <c r="S255" s="646">
        <f t="shared" ref="S255:S277" si="68">S254</f>
        <v>0</v>
      </c>
      <c r="T255" s="399"/>
      <c r="U255" s="662">
        <f t="shared" si="40"/>
        <v>0</v>
      </c>
      <c r="V255" s="637"/>
      <c r="W255" s="476">
        <f t="shared" si="41"/>
        <v>-0.15000000000000002</v>
      </c>
      <c r="Y255" s="475">
        <f t="shared" si="42"/>
        <v>0</v>
      </c>
      <c r="Z255" s="475">
        <f t="shared" si="43"/>
        <v>0</v>
      </c>
      <c r="AA255" s="395">
        <v>0</v>
      </c>
      <c r="AC255" s="729"/>
      <c r="AD255" s="396">
        <f t="shared" si="44"/>
        <v>0</v>
      </c>
      <c r="AE255" s="396"/>
      <c r="AF255" s="396"/>
      <c r="AH255" s="653">
        <f t="shared" si="28"/>
        <v>0</v>
      </c>
      <c r="AI255" s="653">
        <f t="shared" si="28"/>
        <v>0</v>
      </c>
      <c r="AJ255" s="653">
        <f t="shared" si="28"/>
        <v>0</v>
      </c>
      <c r="AK255" s="653">
        <f t="shared" si="28"/>
        <v>0</v>
      </c>
      <c r="AL255" s="653"/>
      <c r="AM255" s="653"/>
      <c r="AN255" s="653"/>
      <c r="AO255" s="653">
        <f t="shared" si="29"/>
        <v>0</v>
      </c>
      <c r="AP255" s="653">
        <f t="shared" si="29"/>
        <v>0</v>
      </c>
      <c r="AQ255" s="653">
        <f t="shared" si="29"/>
        <v>0</v>
      </c>
      <c r="AR255" s="653">
        <f t="shared" si="29"/>
        <v>0</v>
      </c>
      <c r="AS255" s="653">
        <f t="shared" si="29"/>
        <v>0</v>
      </c>
      <c r="AT255" s="653">
        <f t="shared" si="29"/>
        <v>0</v>
      </c>
      <c r="AU255" s="653">
        <f t="shared" si="29"/>
        <v>0</v>
      </c>
      <c r="AV255" s="653">
        <f t="shared" si="29"/>
        <v>0</v>
      </c>
      <c r="AW255" s="653">
        <f t="shared" si="29"/>
        <v>0</v>
      </c>
      <c r="AX255" s="653">
        <f t="shared" si="29"/>
        <v>0</v>
      </c>
      <c r="AY255" s="653">
        <f t="shared" si="29"/>
        <v>0</v>
      </c>
      <c r="AZ255" s="653"/>
      <c r="BA255" s="653"/>
      <c r="BB255" s="653" t="s">
        <v>2</v>
      </c>
      <c r="BC255" s="653"/>
      <c r="BD255" s="653">
        <f t="shared" si="30"/>
        <v>0</v>
      </c>
      <c r="BE255" s="653">
        <f t="shared" si="30"/>
        <v>0</v>
      </c>
      <c r="BF255" s="653">
        <f t="shared" si="30"/>
        <v>0</v>
      </c>
      <c r="BG255" s="653">
        <f t="shared" si="30"/>
        <v>0</v>
      </c>
      <c r="BH255" s="653">
        <f t="shared" si="30"/>
        <v>0</v>
      </c>
      <c r="BI255" s="653">
        <f t="shared" si="30"/>
        <v>0</v>
      </c>
      <c r="BJ255" s="653">
        <f t="shared" si="30"/>
        <v>0</v>
      </c>
      <c r="BK255" s="653">
        <f t="shared" si="30"/>
        <v>0</v>
      </c>
      <c r="BL255" s="653">
        <f t="shared" si="30"/>
        <v>0</v>
      </c>
      <c r="BM255" s="653">
        <f t="shared" si="30"/>
        <v>0</v>
      </c>
      <c r="BN255" s="470"/>
      <c r="BO255" s="470"/>
      <c r="BP255" s="653">
        <f t="shared" si="31"/>
        <v>0</v>
      </c>
      <c r="BQ255" s="653">
        <f t="shared" si="31"/>
        <v>0</v>
      </c>
      <c r="BR255" s="653">
        <f t="shared" si="31"/>
        <v>0</v>
      </c>
      <c r="BS255" s="653">
        <f t="shared" si="31"/>
        <v>0</v>
      </c>
      <c r="BT255" s="653">
        <f t="shared" si="31"/>
        <v>0</v>
      </c>
      <c r="BU255" s="653">
        <f t="shared" si="31"/>
        <v>0</v>
      </c>
      <c r="BV255" s="653">
        <f t="shared" si="31"/>
        <v>0</v>
      </c>
      <c r="BW255" s="653">
        <f t="shared" si="31"/>
        <v>0</v>
      </c>
      <c r="BX255" s="653">
        <f t="shared" si="31"/>
        <v>0</v>
      </c>
      <c r="BY255" s="653">
        <f t="shared" si="31"/>
        <v>0</v>
      </c>
      <c r="BZ255" s="653">
        <f t="shared" si="31"/>
        <v>0</v>
      </c>
      <c r="CA255" s="653">
        <f t="shared" si="31"/>
        <v>0</v>
      </c>
      <c r="CB255" s="653">
        <f t="shared" si="31"/>
        <v>0</v>
      </c>
      <c r="CC255" s="653">
        <f t="shared" si="31"/>
        <v>0</v>
      </c>
      <c r="CD255" s="653">
        <f t="shared" si="31"/>
        <v>0</v>
      </c>
      <c r="CE255" s="653">
        <f t="shared" si="31"/>
        <v>0</v>
      </c>
      <c r="CF255" s="653">
        <f t="shared" si="31"/>
        <v>0</v>
      </c>
      <c r="CG255" s="653">
        <f t="shared" si="31"/>
        <v>0</v>
      </c>
      <c r="CH255" s="653">
        <f t="shared" si="31"/>
        <v>0</v>
      </c>
      <c r="CI255" s="653">
        <f t="shared" si="31"/>
        <v>0</v>
      </c>
      <c r="CJ255" s="653">
        <f t="shared" si="31"/>
        <v>0</v>
      </c>
      <c r="CK255" s="653"/>
      <c r="CL255" s="653"/>
      <c r="CM255" s="470"/>
      <c r="CN255" s="653">
        <f t="shared" si="32"/>
        <v>0</v>
      </c>
      <c r="CO255" s="653">
        <f t="shared" si="32"/>
        <v>0</v>
      </c>
      <c r="CP255" s="653">
        <f t="shared" si="32"/>
        <v>0</v>
      </c>
      <c r="CQ255" s="470"/>
      <c r="CR255" s="470"/>
      <c r="CS255" s="653">
        <f t="shared" si="33"/>
        <v>0</v>
      </c>
      <c r="CT255" s="653">
        <f t="shared" si="33"/>
        <v>0</v>
      </c>
      <c r="CU255" s="653">
        <f t="shared" si="33"/>
        <v>0</v>
      </c>
      <c r="CV255" s="653">
        <f t="shared" si="33"/>
        <v>0</v>
      </c>
      <c r="CW255" s="653">
        <f t="shared" si="33"/>
        <v>0</v>
      </c>
      <c r="CX255" s="653">
        <f t="shared" si="33"/>
        <v>0</v>
      </c>
      <c r="CY255" s="653">
        <f t="shared" si="33"/>
        <v>0</v>
      </c>
      <c r="CZ255" s="470"/>
      <c r="DA255" s="470"/>
      <c r="DB255" s="653">
        <f t="shared" si="34"/>
        <v>0</v>
      </c>
      <c r="DC255" s="653">
        <f t="shared" si="34"/>
        <v>0</v>
      </c>
      <c r="DD255" s="653">
        <f t="shared" si="34"/>
        <v>0</v>
      </c>
      <c r="DE255" s="653">
        <f t="shared" si="34"/>
        <v>0</v>
      </c>
      <c r="DF255" s="653">
        <f t="shared" si="34"/>
        <v>0</v>
      </c>
      <c r="DG255" s="653">
        <f t="shared" si="34"/>
        <v>0</v>
      </c>
      <c r="DH255" s="653">
        <f t="shared" si="34"/>
        <v>0</v>
      </c>
      <c r="DI255" s="653">
        <f t="shared" si="34"/>
        <v>0</v>
      </c>
      <c r="DJ255" s="653">
        <f t="shared" si="34"/>
        <v>0</v>
      </c>
      <c r="DK255" s="653">
        <f t="shared" si="34"/>
        <v>0</v>
      </c>
      <c r="DL255" s="653">
        <f t="shared" si="34"/>
        <v>0</v>
      </c>
      <c r="DM255" s="653">
        <f t="shared" si="34"/>
        <v>0</v>
      </c>
      <c r="DN255" s="653">
        <f t="shared" si="34"/>
        <v>0</v>
      </c>
      <c r="DO255" s="653">
        <f t="shared" si="34"/>
        <v>0</v>
      </c>
      <c r="DP255" s="653">
        <f t="shared" si="34"/>
        <v>0</v>
      </c>
      <c r="DQ255" s="653">
        <f t="shared" si="34"/>
        <v>0</v>
      </c>
      <c r="DR255" s="653">
        <f t="shared" si="34"/>
        <v>0</v>
      </c>
      <c r="DS255" s="653">
        <f t="shared" si="34"/>
        <v>0</v>
      </c>
      <c r="DT255" s="653">
        <f t="shared" si="34"/>
        <v>0</v>
      </c>
      <c r="DU255" s="653"/>
      <c r="DV255" s="653"/>
      <c r="DW255" s="470"/>
      <c r="DX255" s="470"/>
      <c r="DY255" s="474">
        <f t="shared" si="45"/>
        <v>0</v>
      </c>
      <c r="EA255" s="730">
        <f t="shared" si="46"/>
        <v>0</v>
      </c>
      <c r="EG255" s="731">
        <f t="shared" si="35"/>
        <v>9.9999999999999995E-8</v>
      </c>
      <c r="EH255" s="655">
        <f t="shared" si="47"/>
        <v>1500</v>
      </c>
      <c r="EI255" s="655">
        <f t="shared" si="48"/>
        <v>0</v>
      </c>
      <c r="EJ255" s="655">
        <f t="shared" si="49"/>
        <v>0</v>
      </c>
      <c r="EK255" s="655">
        <f t="shared" si="50"/>
        <v>0</v>
      </c>
      <c r="EL255" s="655">
        <f t="shared" si="51"/>
        <v>1500</v>
      </c>
      <c r="EM255" s="655"/>
      <c r="EN255" s="655">
        <f t="shared" si="52"/>
        <v>5000</v>
      </c>
      <c r="EO255" s="655">
        <f t="shared" si="53"/>
        <v>0</v>
      </c>
      <c r="EP255" s="655">
        <f t="shared" si="54"/>
        <v>5000</v>
      </c>
      <c r="EQ255" s="481"/>
      <c r="ER255" s="655">
        <f t="shared" si="55"/>
        <v>1500</v>
      </c>
      <c r="ES255" s="656">
        <f t="shared" si="56"/>
        <v>1500</v>
      </c>
      <c r="ET255" s="656">
        <f t="shared" si="57"/>
        <v>0</v>
      </c>
      <c r="EU255" s="656">
        <f t="shared" si="58"/>
        <v>0</v>
      </c>
      <c r="EV255" s="656">
        <f t="shared" si="59"/>
        <v>1500</v>
      </c>
      <c r="EW255" s="483">
        <f t="shared" si="60"/>
        <v>1500</v>
      </c>
      <c r="EX255" s="398">
        <f t="shared" si="61"/>
        <v>0</v>
      </c>
      <c r="EY255" s="285" t="str">
        <f t="shared" si="36"/>
        <v>X</v>
      </c>
      <c r="EZ255" s="628">
        <f t="shared" si="62"/>
        <v>0</v>
      </c>
      <c r="FA255" s="628">
        <f t="shared" si="63"/>
        <v>0</v>
      </c>
    </row>
    <row r="256" spans="1:157" ht="15" customHeight="1">
      <c r="A256" s="244">
        <f t="shared" si="37"/>
        <v>-0.05</v>
      </c>
      <c r="B256" s="637">
        <v>4</v>
      </c>
      <c r="C256" s="644">
        <f t="shared" si="38"/>
        <v>0</v>
      </c>
      <c r="D256" s="628">
        <f t="shared" si="23"/>
        <v>0</v>
      </c>
      <c r="E256" s="645">
        <f t="shared" si="64"/>
        <v>0</v>
      </c>
      <c r="F256" s="645">
        <f>([1]APPLICATION!AA24)+A256</f>
        <v>-0.05</v>
      </c>
      <c r="G256" s="645">
        <f t="shared" si="24"/>
        <v>0</v>
      </c>
      <c r="H256" s="445">
        <f t="shared" si="65"/>
        <v>0</v>
      </c>
      <c r="I256" s="646">
        <f t="shared" si="65"/>
        <v>-0.1</v>
      </c>
      <c r="J256" s="646">
        <f t="shared" si="25"/>
        <v>0</v>
      </c>
      <c r="K256" s="645">
        <f>IF([1]APPLICATION!S24="N",-0.2,0)</f>
        <v>0</v>
      </c>
      <c r="L256" s="645">
        <f t="shared" si="66"/>
        <v>0</v>
      </c>
      <c r="N256" s="645">
        <f t="shared" si="67"/>
        <v>0</v>
      </c>
      <c r="O256" s="645">
        <f t="shared" si="26"/>
        <v>0</v>
      </c>
      <c r="P256" s="645">
        <f t="shared" si="26"/>
        <v>0</v>
      </c>
      <c r="Q256" s="645">
        <f t="shared" si="27"/>
        <v>0</v>
      </c>
      <c r="R256" s="646">
        <f t="shared" si="39"/>
        <v>0</v>
      </c>
      <c r="S256" s="646">
        <f t="shared" si="68"/>
        <v>0</v>
      </c>
      <c r="T256" s="399"/>
      <c r="U256" s="662">
        <f t="shared" si="40"/>
        <v>0</v>
      </c>
      <c r="V256" s="637"/>
      <c r="W256" s="476">
        <f t="shared" si="41"/>
        <v>-0.15000000000000002</v>
      </c>
      <c r="Y256" s="475">
        <f t="shared" si="42"/>
        <v>0</v>
      </c>
      <c r="Z256" s="475">
        <f t="shared" si="43"/>
        <v>0</v>
      </c>
      <c r="AA256" s="395">
        <v>0</v>
      </c>
      <c r="AC256" s="729"/>
      <c r="AD256" s="396">
        <f t="shared" si="44"/>
        <v>0</v>
      </c>
      <c r="AE256" s="396"/>
      <c r="AF256" s="396"/>
      <c r="AH256" s="653">
        <f t="shared" si="28"/>
        <v>0</v>
      </c>
      <c r="AI256" s="653">
        <f t="shared" si="28"/>
        <v>0</v>
      </c>
      <c r="AJ256" s="653">
        <f t="shared" si="28"/>
        <v>0</v>
      </c>
      <c r="AK256" s="653">
        <f t="shared" si="28"/>
        <v>0</v>
      </c>
      <c r="AL256" s="653"/>
      <c r="AM256" s="653"/>
      <c r="AN256" s="653"/>
      <c r="AO256" s="653">
        <f t="shared" si="29"/>
        <v>0</v>
      </c>
      <c r="AP256" s="653">
        <f t="shared" si="29"/>
        <v>0</v>
      </c>
      <c r="AQ256" s="653">
        <f t="shared" si="29"/>
        <v>0</v>
      </c>
      <c r="AR256" s="653">
        <f t="shared" si="29"/>
        <v>0</v>
      </c>
      <c r="AS256" s="653">
        <f t="shared" si="29"/>
        <v>0</v>
      </c>
      <c r="AT256" s="653">
        <f t="shared" si="29"/>
        <v>0</v>
      </c>
      <c r="AU256" s="653">
        <f t="shared" si="29"/>
        <v>0</v>
      </c>
      <c r="AV256" s="653">
        <f t="shared" si="29"/>
        <v>0</v>
      </c>
      <c r="AW256" s="653">
        <f t="shared" si="29"/>
        <v>0</v>
      </c>
      <c r="AX256" s="653">
        <f t="shared" si="29"/>
        <v>0</v>
      </c>
      <c r="AY256" s="653">
        <f t="shared" si="29"/>
        <v>0</v>
      </c>
      <c r="AZ256" s="653"/>
      <c r="BA256" s="653"/>
      <c r="BB256" s="653" t="s">
        <v>2</v>
      </c>
      <c r="BC256" s="653"/>
      <c r="BD256" s="653">
        <f t="shared" si="30"/>
        <v>0</v>
      </c>
      <c r="BE256" s="653">
        <f t="shared" si="30"/>
        <v>0</v>
      </c>
      <c r="BF256" s="653">
        <f t="shared" si="30"/>
        <v>0</v>
      </c>
      <c r="BG256" s="653">
        <f t="shared" si="30"/>
        <v>0</v>
      </c>
      <c r="BH256" s="653">
        <f t="shared" si="30"/>
        <v>0</v>
      </c>
      <c r="BI256" s="653">
        <f t="shared" si="30"/>
        <v>0</v>
      </c>
      <c r="BJ256" s="653">
        <f t="shared" si="30"/>
        <v>0</v>
      </c>
      <c r="BK256" s="653">
        <f t="shared" si="30"/>
        <v>0</v>
      </c>
      <c r="BL256" s="653">
        <f t="shared" si="30"/>
        <v>0</v>
      </c>
      <c r="BM256" s="653">
        <f t="shared" si="30"/>
        <v>0</v>
      </c>
      <c r="BN256" s="470"/>
      <c r="BO256" s="470"/>
      <c r="BP256" s="653">
        <f t="shared" si="31"/>
        <v>0</v>
      </c>
      <c r="BQ256" s="653">
        <f t="shared" si="31"/>
        <v>0</v>
      </c>
      <c r="BR256" s="653">
        <f t="shared" si="31"/>
        <v>0</v>
      </c>
      <c r="BS256" s="653">
        <f t="shared" si="31"/>
        <v>0</v>
      </c>
      <c r="BT256" s="653">
        <f t="shared" si="31"/>
        <v>0</v>
      </c>
      <c r="BU256" s="653">
        <f t="shared" si="31"/>
        <v>0</v>
      </c>
      <c r="BV256" s="653">
        <f t="shared" si="31"/>
        <v>0</v>
      </c>
      <c r="BW256" s="653">
        <f t="shared" si="31"/>
        <v>0</v>
      </c>
      <c r="BX256" s="653">
        <f t="shared" si="31"/>
        <v>0</v>
      </c>
      <c r="BY256" s="653">
        <f t="shared" si="31"/>
        <v>0</v>
      </c>
      <c r="BZ256" s="653">
        <f t="shared" si="31"/>
        <v>0</v>
      </c>
      <c r="CA256" s="653">
        <f t="shared" si="31"/>
        <v>0</v>
      </c>
      <c r="CB256" s="653">
        <f t="shared" si="31"/>
        <v>0</v>
      </c>
      <c r="CC256" s="653">
        <f t="shared" si="31"/>
        <v>0</v>
      </c>
      <c r="CD256" s="653">
        <f t="shared" si="31"/>
        <v>0</v>
      </c>
      <c r="CE256" s="653">
        <f t="shared" si="31"/>
        <v>0</v>
      </c>
      <c r="CF256" s="653">
        <f t="shared" si="31"/>
        <v>0</v>
      </c>
      <c r="CG256" s="653">
        <f t="shared" si="31"/>
        <v>0</v>
      </c>
      <c r="CH256" s="653">
        <f t="shared" si="31"/>
        <v>0</v>
      </c>
      <c r="CI256" s="653">
        <f t="shared" si="31"/>
        <v>0</v>
      </c>
      <c r="CJ256" s="653">
        <f t="shared" si="31"/>
        <v>0</v>
      </c>
      <c r="CK256" s="653"/>
      <c r="CL256" s="653"/>
      <c r="CM256" s="470"/>
      <c r="CN256" s="653">
        <f t="shared" si="32"/>
        <v>0</v>
      </c>
      <c r="CO256" s="653">
        <f t="shared" si="32"/>
        <v>0</v>
      </c>
      <c r="CP256" s="653">
        <f t="shared" si="32"/>
        <v>0</v>
      </c>
      <c r="CQ256" s="470"/>
      <c r="CR256" s="470"/>
      <c r="CS256" s="653">
        <f t="shared" si="33"/>
        <v>0</v>
      </c>
      <c r="CT256" s="653">
        <f t="shared" si="33"/>
        <v>0</v>
      </c>
      <c r="CU256" s="653">
        <f t="shared" si="33"/>
        <v>0</v>
      </c>
      <c r="CV256" s="653">
        <f t="shared" si="33"/>
        <v>0</v>
      </c>
      <c r="CW256" s="653">
        <f t="shared" si="33"/>
        <v>0</v>
      </c>
      <c r="CX256" s="653">
        <f t="shared" si="33"/>
        <v>0</v>
      </c>
      <c r="CY256" s="653">
        <f t="shared" si="33"/>
        <v>0</v>
      </c>
      <c r="CZ256" s="470"/>
      <c r="DA256" s="470"/>
      <c r="DB256" s="653">
        <f t="shared" si="34"/>
        <v>0</v>
      </c>
      <c r="DC256" s="653">
        <f t="shared" si="34"/>
        <v>0</v>
      </c>
      <c r="DD256" s="653">
        <f t="shared" si="34"/>
        <v>0</v>
      </c>
      <c r="DE256" s="653">
        <f t="shared" si="34"/>
        <v>0</v>
      </c>
      <c r="DF256" s="653">
        <f t="shared" si="34"/>
        <v>0</v>
      </c>
      <c r="DG256" s="653">
        <f t="shared" si="34"/>
        <v>0</v>
      </c>
      <c r="DH256" s="653">
        <f t="shared" si="34"/>
        <v>0</v>
      </c>
      <c r="DI256" s="653">
        <f t="shared" si="34"/>
        <v>0</v>
      </c>
      <c r="DJ256" s="653">
        <f t="shared" si="34"/>
        <v>0</v>
      </c>
      <c r="DK256" s="653">
        <f t="shared" si="34"/>
        <v>0</v>
      </c>
      <c r="DL256" s="653">
        <f t="shared" si="34"/>
        <v>0</v>
      </c>
      <c r="DM256" s="653">
        <f t="shared" si="34"/>
        <v>0</v>
      </c>
      <c r="DN256" s="653">
        <f t="shared" si="34"/>
        <v>0</v>
      </c>
      <c r="DO256" s="653">
        <f t="shared" si="34"/>
        <v>0</v>
      </c>
      <c r="DP256" s="653">
        <f t="shared" si="34"/>
        <v>0</v>
      </c>
      <c r="DQ256" s="653">
        <f t="shared" si="34"/>
        <v>0</v>
      </c>
      <c r="DR256" s="653">
        <f t="shared" si="34"/>
        <v>0</v>
      </c>
      <c r="DS256" s="653">
        <f t="shared" si="34"/>
        <v>0</v>
      </c>
      <c r="DT256" s="653">
        <f t="shared" si="34"/>
        <v>0</v>
      </c>
      <c r="DU256" s="653"/>
      <c r="DV256" s="653"/>
      <c r="DW256" s="470"/>
      <c r="DX256" s="470"/>
      <c r="DY256" s="474">
        <f t="shared" si="45"/>
        <v>0</v>
      </c>
      <c r="EA256" s="730">
        <f t="shared" si="46"/>
        <v>0</v>
      </c>
      <c r="EG256" s="731">
        <f t="shared" si="35"/>
        <v>9.9999999999999995E-8</v>
      </c>
      <c r="EH256" s="655">
        <f t="shared" si="47"/>
        <v>1500</v>
      </c>
      <c r="EI256" s="655">
        <f t="shared" si="48"/>
        <v>0</v>
      </c>
      <c r="EJ256" s="655">
        <f t="shared" si="49"/>
        <v>0</v>
      </c>
      <c r="EK256" s="655">
        <f t="shared" si="50"/>
        <v>0</v>
      </c>
      <c r="EL256" s="655">
        <f t="shared" si="51"/>
        <v>1500</v>
      </c>
      <c r="EM256" s="655"/>
      <c r="EN256" s="655">
        <f t="shared" si="52"/>
        <v>5000</v>
      </c>
      <c r="EO256" s="655">
        <f t="shared" si="53"/>
        <v>0</v>
      </c>
      <c r="EP256" s="655">
        <f t="shared" si="54"/>
        <v>5000</v>
      </c>
      <c r="EQ256" s="481"/>
      <c r="ER256" s="655">
        <f t="shared" si="55"/>
        <v>1500</v>
      </c>
      <c r="ES256" s="656">
        <f t="shared" si="56"/>
        <v>1500</v>
      </c>
      <c r="ET256" s="656">
        <f t="shared" si="57"/>
        <v>0</v>
      </c>
      <c r="EU256" s="656">
        <f t="shared" si="58"/>
        <v>0</v>
      </c>
      <c r="EV256" s="656">
        <f t="shared" si="59"/>
        <v>1500</v>
      </c>
      <c r="EW256" s="483">
        <f t="shared" si="60"/>
        <v>1500</v>
      </c>
      <c r="EX256" s="398">
        <f t="shared" si="61"/>
        <v>0</v>
      </c>
      <c r="EY256" s="285" t="str">
        <f t="shared" si="36"/>
        <v>X</v>
      </c>
      <c r="EZ256" s="628">
        <f t="shared" si="62"/>
        <v>0</v>
      </c>
      <c r="FA256" s="628">
        <f t="shared" si="63"/>
        <v>0</v>
      </c>
    </row>
    <row r="257" spans="1:157" ht="15" customHeight="1">
      <c r="A257" s="244">
        <f t="shared" si="37"/>
        <v>-0.05</v>
      </c>
      <c r="B257" s="637">
        <v>5</v>
      </c>
      <c r="C257" s="644">
        <f t="shared" si="38"/>
        <v>0</v>
      </c>
      <c r="D257" s="628">
        <f t="shared" si="23"/>
        <v>0</v>
      </c>
      <c r="E257" s="645">
        <f t="shared" si="64"/>
        <v>0</v>
      </c>
      <c r="F257" s="645">
        <f>([1]APPLICATION!AA25)+A257</f>
        <v>-0.05</v>
      </c>
      <c r="G257" s="645">
        <f t="shared" si="24"/>
        <v>0</v>
      </c>
      <c r="H257" s="445">
        <f t="shared" si="65"/>
        <v>0</v>
      </c>
      <c r="I257" s="646">
        <f t="shared" si="65"/>
        <v>-0.1</v>
      </c>
      <c r="J257" s="646">
        <f t="shared" si="25"/>
        <v>0</v>
      </c>
      <c r="K257" s="645">
        <f>IF([1]APPLICATION!S25="N",-0.2,0)</f>
        <v>0</v>
      </c>
      <c r="L257" s="645">
        <f t="shared" si="66"/>
        <v>0</v>
      </c>
      <c r="N257" s="645">
        <f t="shared" si="67"/>
        <v>0</v>
      </c>
      <c r="O257" s="645">
        <f t="shared" si="26"/>
        <v>0</v>
      </c>
      <c r="P257" s="645">
        <f t="shared" si="26"/>
        <v>0</v>
      </c>
      <c r="Q257" s="645">
        <f t="shared" si="27"/>
        <v>0</v>
      </c>
      <c r="R257" s="646">
        <f t="shared" si="39"/>
        <v>0</v>
      </c>
      <c r="S257" s="646">
        <f t="shared" si="68"/>
        <v>0</v>
      </c>
      <c r="T257" s="399"/>
      <c r="U257" s="662">
        <f t="shared" si="40"/>
        <v>0</v>
      </c>
      <c r="V257" s="637"/>
      <c r="W257" s="476">
        <f t="shared" si="41"/>
        <v>-0.15000000000000002</v>
      </c>
      <c r="Y257" s="475">
        <f t="shared" si="42"/>
        <v>0</v>
      </c>
      <c r="Z257" s="475">
        <f t="shared" si="43"/>
        <v>0</v>
      </c>
      <c r="AA257" s="395">
        <v>0</v>
      </c>
      <c r="AC257" s="729"/>
      <c r="AD257" s="396">
        <f t="shared" si="44"/>
        <v>0</v>
      </c>
      <c r="AE257" s="396"/>
      <c r="AF257" s="396"/>
      <c r="AH257" s="653">
        <f t="shared" si="28"/>
        <v>0</v>
      </c>
      <c r="AI257" s="653">
        <f t="shared" si="28"/>
        <v>0</v>
      </c>
      <c r="AJ257" s="653">
        <f t="shared" si="28"/>
        <v>0</v>
      </c>
      <c r="AK257" s="653">
        <f t="shared" si="28"/>
        <v>0</v>
      </c>
      <c r="AL257" s="653"/>
      <c r="AM257" s="653"/>
      <c r="AN257" s="653"/>
      <c r="AO257" s="653">
        <f t="shared" si="29"/>
        <v>0</v>
      </c>
      <c r="AP257" s="653">
        <f t="shared" si="29"/>
        <v>0</v>
      </c>
      <c r="AQ257" s="653">
        <f t="shared" si="29"/>
        <v>0</v>
      </c>
      <c r="AR257" s="653">
        <f t="shared" si="29"/>
        <v>0</v>
      </c>
      <c r="AS257" s="653">
        <f t="shared" si="29"/>
        <v>0</v>
      </c>
      <c r="AT257" s="653">
        <f t="shared" si="29"/>
        <v>0</v>
      </c>
      <c r="AU257" s="653">
        <f t="shared" si="29"/>
        <v>0</v>
      </c>
      <c r="AV257" s="653">
        <f t="shared" si="29"/>
        <v>0</v>
      </c>
      <c r="AW257" s="653">
        <f t="shared" si="29"/>
        <v>0</v>
      </c>
      <c r="AX257" s="653">
        <f t="shared" si="29"/>
        <v>0</v>
      </c>
      <c r="AY257" s="653">
        <f t="shared" si="29"/>
        <v>0</v>
      </c>
      <c r="AZ257" s="653"/>
      <c r="BA257" s="653"/>
      <c r="BB257" s="653" t="s">
        <v>2</v>
      </c>
      <c r="BC257" s="653"/>
      <c r="BD257" s="653">
        <f t="shared" si="30"/>
        <v>0</v>
      </c>
      <c r="BE257" s="653">
        <f t="shared" si="30"/>
        <v>0</v>
      </c>
      <c r="BF257" s="653">
        <f t="shared" si="30"/>
        <v>0</v>
      </c>
      <c r="BG257" s="653">
        <f t="shared" si="30"/>
        <v>0</v>
      </c>
      <c r="BH257" s="653">
        <f t="shared" si="30"/>
        <v>0</v>
      </c>
      <c r="BI257" s="653">
        <f t="shared" si="30"/>
        <v>0</v>
      </c>
      <c r="BJ257" s="653">
        <f t="shared" si="30"/>
        <v>0</v>
      </c>
      <c r="BK257" s="653">
        <f t="shared" si="30"/>
        <v>0</v>
      </c>
      <c r="BL257" s="653">
        <f t="shared" si="30"/>
        <v>0</v>
      </c>
      <c r="BM257" s="653">
        <f t="shared" si="30"/>
        <v>0</v>
      </c>
      <c r="BN257" s="470"/>
      <c r="BO257" s="470"/>
      <c r="BP257" s="653">
        <f t="shared" si="31"/>
        <v>0</v>
      </c>
      <c r="BQ257" s="653">
        <f t="shared" si="31"/>
        <v>0</v>
      </c>
      <c r="BR257" s="653">
        <f t="shared" si="31"/>
        <v>0</v>
      </c>
      <c r="BS257" s="653">
        <f t="shared" si="31"/>
        <v>0</v>
      </c>
      <c r="BT257" s="653">
        <f t="shared" si="31"/>
        <v>0</v>
      </c>
      <c r="BU257" s="653">
        <f t="shared" si="31"/>
        <v>0</v>
      </c>
      <c r="BV257" s="653">
        <f t="shared" si="31"/>
        <v>0</v>
      </c>
      <c r="BW257" s="653">
        <f t="shared" si="31"/>
        <v>0</v>
      </c>
      <c r="BX257" s="653">
        <f t="shared" si="31"/>
        <v>0</v>
      </c>
      <c r="BY257" s="653">
        <f t="shared" si="31"/>
        <v>0</v>
      </c>
      <c r="BZ257" s="653">
        <f t="shared" si="31"/>
        <v>0</v>
      </c>
      <c r="CA257" s="653">
        <f t="shared" si="31"/>
        <v>0</v>
      </c>
      <c r="CB257" s="653">
        <f t="shared" si="31"/>
        <v>0</v>
      </c>
      <c r="CC257" s="653">
        <f t="shared" si="31"/>
        <v>0</v>
      </c>
      <c r="CD257" s="653">
        <f t="shared" si="31"/>
        <v>0</v>
      </c>
      <c r="CE257" s="653">
        <f t="shared" si="31"/>
        <v>0</v>
      </c>
      <c r="CF257" s="653">
        <f t="shared" si="31"/>
        <v>0</v>
      </c>
      <c r="CG257" s="653">
        <f t="shared" si="31"/>
        <v>0</v>
      </c>
      <c r="CH257" s="653">
        <f t="shared" si="31"/>
        <v>0</v>
      </c>
      <c r="CI257" s="653">
        <f t="shared" si="31"/>
        <v>0</v>
      </c>
      <c r="CJ257" s="653">
        <f t="shared" si="31"/>
        <v>0</v>
      </c>
      <c r="CK257" s="653"/>
      <c r="CL257" s="653"/>
      <c r="CM257" s="470"/>
      <c r="CN257" s="653">
        <f t="shared" si="32"/>
        <v>0</v>
      </c>
      <c r="CO257" s="653">
        <f t="shared" si="32"/>
        <v>0</v>
      </c>
      <c r="CP257" s="653">
        <f t="shared" si="32"/>
        <v>0</v>
      </c>
      <c r="CQ257" s="470"/>
      <c r="CR257" s="470"/>
      <c r="CS257" s="653">
        <f t="shared" si="33"/>
        <v>0</v>
      </c>
      <c r="CT257" s="653">
        <f t="shared" si="33"/>
        <v>0</v>
      </c>
      <c r="CU257" s="653">
        <f t="shared" si="33"/>
        <v>0</v>
      </c>
      <c r="CV257" s="653">
        <f t="shared" si="33"/>
        <v>0</v>
      </c>
      <c r="CW257" s="653">
        <f t="shared" si="33"/>
        <v>0</v>
      </c>
      <c r="CX257" s="653">
        <f t="shared" si="33"/>
        <v>0</v>
      </c>
      <c r="CY257" s="653">
        <f t="shared" si="33"/>
        <v>0</v>
      </c>
      <c r="CZ257" s="470"/>
      <c r="DA257" s="470"/>
      <c r="DB257" s="653">
        <f t="shared" si="34"/>
        <v>0</v>
      </c>
      <c r="DC257" s="653">
        <f t="shared" si="34"/>
        <v>0</v>
      </c>
      <c r="DD257" s="653">
        <f t="shared" si="34"/>
        <v>0</v>
      </c>
      <c r="DE257" s="653">
        <f t="shared" si="34"/>
        <v>0</v>
      </c>
      <c r="DF257" s="653">
        <f t="shared" si="34"/>
        <v>0</v>
      </c>
      <c r="DG257" s="653">
        <f t="shared" si="34"/>
        <v>0</v>
      </c>
      <c r="DH257" s="653">
        <f t="shared" si="34"/>
        <v>0</v>
      </c>
      <c r="DI257" s="653">
        <f t="shared" si="34"/>
        <v>0</v>
      </c>
      <c r="DJ257" s="653">
        <f t="shared" si="34"/>
        <v>0</v>
      </c>
      <c r="DK257" s="653">
        <f t="shared" si="34"/>
        <v>0</v>
      </c>
      <c r="DL257" s="653">
        <f t="shared" si="34"/>
        <v>0</v>
      </c>
      <c r="DM257" s="653">
        <f t="shared" si="34"/>
        <v>0</v>
      </c>
      <c r="DN257" s="653">
        <f t="shared" si="34"/>
        <v>0</v>
      </c>
      <c r="DO257" s="653">
        <f t="shared" si="34"/>
        <v>0</v>
      </c>
      <c r="DP257" s="653">
        <f t="shared" si="34"/>
        <v>0</v>
      </c>
      <c r="DQ257" s="653">
        <f t="shared" si="34"/>
        <v>0</v>
      </c>
      <c r="DR257" s="653">
        <f t="shared" si="34"/>
        <v>0</v>
      </c>
      <c r="DS257" s="653">
        <f t="shared" si="34"/>
        <v>0</v>
      </c>
      <c r="DT257" s="653">
        <f t="shared" si="34"/>
        <v>0</v>
      </c>
      <c r="DU257" s="653"/>
      <c r="DV257" s="653"/>
      <c r="DW257" s="470"/>
      <c r="DX257" s="470"/>
      <c r="DY257" s="474">
        <f t="shared" si="45"/>
        <v>0</v>
      </c>
      <c r="EA257" s="730">
        <f t="shared" si="46"/>
        <v>0</v>
      </c>
      <c r="EG257" s="731">
        <f t="shared" si="35"/>
        <v>9.9999999999999995E-8</v>
      </c>
      <c r="EH257" s="655">
        <f t="shared" si="47"/>
        <v>1500</v>
      </c>
      <c r="EI257" s="655">
        <f t="shared" si="48"/>
        <v>0</v>
      </c>
      <c r="EJ257" s="655">
        <f t="shared" si="49"/>
        <v>0</v>
      </c>
      <c r="EK257" s="655">
        <f t="shared" si="50"/>
        <v>0</v>
      </c>
      <c r="EL257" s="655">
        <f t="shared" si="51"/>
        <v>1500</v>
      </c>
      <c r="EM257" s="655"/>
      <c r="EN257" s="655">
        <f t="shared" si="52"/>
        <v>5000</v>
      </c>
      <c r="EO257" s="655">
        <f t="shared" si="53"/>
        <v>0</v>
      </c>
      <c r="EP257" s="655">
        <f t="shared" si="54"/>
        <v>5000</v>
      </c>
      <c r="EQ257" s="481"/>
      <c r="ER257" s="655">
        <f t="shared" si="55"/>
        <v>1500</v>
      </c>
      <c r="ES257" s="656">
        <f t="shared" si="56"/>
        <v>1500</v>
      </c>
      <c r="ET257" s="656">
        <f t="shared" si="57"/>
        <v>0</v>
      </c>
      <c r="EU257" s="656">
        <f t="shared" si="58"/>
        <v>0</v>
      </c>
      <c r="EV257" s="656">
        <f t="shared" si="59"/>
        <v>1500</v>
      </c>
      <c r="EW257" s="483">
        <f t="shared" si="60"/>
        <v>1500</v>
      </c>
      <c r="EX257" s="398">
        <f t="shared" si="61"/>
        <v>0</v>
      </c>
      <c r="EY257" s="285" t="str">
        <f t="shared" si="36"/>
        <v>X</v>
      </c>
      <c r="EZ257" s="628">
        <f t="shared" si="62"/>
        <v>0</v>
      </c>
      <c r="FA257" s="628">
        <f t="shared" si="63"/>
        <v>0</v>
      </c>
    </row>
    <row r="258" spans="1:157" ht="15" customHeight="1">
      <c r="A258" s="244">
        <f t="shared" si="37"/>
        <v>-0.05</v>
      </c>
      <c r="B258" s="637">
        <v>6</v>
      </c>
      <c r="C258" s="644">
        <f t="shared" si="38"/>
        <v>0</v>
      </c>
      <c r="D258" s="628">
        <f t="shared" si="23"/>
        <v>0</v>
      </c>
      <c r="E258" s="645">
        <f t="shared" si="64"/>
        <v>0</v>
      </c>
      <c r="F258" s="645">
        <f>([1]APPLICATION!AA26)+A258</f>
        <v>-0.05</v>
      </c>
      <c r="G258" s="645">
        <f t="shared" si="24"/>
        <v>0</v>
      </c>
      <c r="H258" s="445">
        <f t="shared" si="65"/>
        <v>0</v>
      </c>
      <c r="I258" s="646">
        <f t="shared" si="65"/>
        <v>-0.1</v>
      </c>
      <c r="J258" s="646">
        <f t="shared" si="25"/>
        <v>0</v>
      </c>
      <c r="K258" s="645">
        <f>IF([1]APPLICATION!S26="N",-0.2,0)</f>
        <v>0</v>
      </c>
      <c r="L258" s="645">
        <f t="shared" si="66"/>
        <v>0</v>
      </c>
      <c r="N258" s="645">
        <f t="shared" si="67"/>
        <v>0</v>
      </c>
      <c r="O258" s="645">
        <f t="shared" si="26"/>
        <v>0</v>
      </c>
      <c r="P258" s="645">
        <f t="shared" si="26"/>
        <v>0</v>
      </c>
      <c r="Q258" s="645">
        <f t="shared" si="27"/>
        <v>0</v>
      </c>
      <c r="R258" s="646">
        <f t="shared" si="39"/>
        <v>0</v>
      </c>
      <c r="S258" s="646">
        <f t="shared" si="68"/>
        <v>0</v>
      </c>
      <c r="T258" s="399"/>
      <c r="U258" s="662">
        <f t="shared" si="40"/>
        <v>0</v>
      </c>
      <c r="V258" s="637"/>
      <c r="W258" s="476">
        <f t="shared" si="41"/>
        <v>-0.15000000000000002</v>
      </c>
      <c r="Y258" s="475">
        <f t="shared" si="42"/>
        <v>0</v>
      </c>
      <c r="Z258" s="475">
        <f t="shared" si="43"/>
        <v>0</v>
      </c>
      <c r="AA258" s="395">
        <v>0</v>
      </c>
      <c r="AC258" s="729"/>
      <c r="AD258" s="396">
        <f t="shared" si="44"/>
        <v>0</v>
      </c>
      <c r="AE258" s="396"/>
      <c r="AF258" s="396"/>
      <c r="AH258" s="653">
        <f t="shared" si="28"/>
        <v>0</v>
      </c>
      <c r="AI258" s="653">
        <f t="shared" si="28"/>
        <v>0</v>
      </c>
      <c r="AJ258" s="653">
        <f t="shared" si="28"/>
        <v>0</v>
      </c>
      <c r="AK258" s="653">
        <f t="shared" si="28"/>
        <v>0</v>
      </c>
      <c r="AL258" s="653"/>
      <c r="AM258" s="653"/>
      <c r="AN258" s="653"/>
      <c r="AO258" s="653">
        <f t="shared" si="29"/>
        <v>0</v>
      </c>
      <c r="AP258" s="653">
        <f t="shared" si="29"/>
        <v>0</v>
      </c>
      <c r="AQ258" s="653">
        <f t="shared" si="29"/>
        <v>0</v>
      </c>
      <c r="AR258" s="653">
        <f t="shared" si="29"/>
        <v>0</v>
      </c>
      <c r="AS258" s="653">
        <f t="shared" si="29"/>
        <v>0</v>
      </c>
      <c r="AT258" s="653">
        <f t="shared" si="29"/>
        <v>0</v>
      </c>
      <c r="AU258" s="653">
        <f t="shared" si="29"/>
        <v>0</v>
      </c>
      <c r="AV258" s="653">
        <f t="shared" si="29"/>
        <v>0</v>
      </c>
      <c r="AW258" s="653">
        <f t="shared" si="29"/>
        <v>0</v>
      </c>
      <c r="AX258" s="653">
        <f t="shared" si="29"/>
        <v>0</v>
      </c>
      <c r="AY258" s="653">
        <f t="shared" si="29"/>
        <v>0</v>
      </c>
      <c r="AZ258" s="653"/>
      <c r="BA258" s="653"/>
      <c r="BB258" s="653" t="s">
        <v>2</v>
      </c>
      <c r="BC258" s="653"/>
      <c r="BD258" s="653">
        <f t="shared" si="30"/>
        <v>0</v>
      </c>
      <c r="BE258" s="653">
        <f t="shared" si="30"/>
        <v>0</v>
      </c>
      <c r="BF258" s="653">
        <f t="shared" si="30"/>
        <v>0</v>
      </c>
      <c r="BG258" s="653">
        <f t="shared" si="30"/>
        <v>0</v>
      </c>
      <c r="BH258" s="653">
        <f t="shared" si="30"/>
        <v>0</v>
      </c>
      <c r="BI258" s="653">
        <f t="shared" si="30"/>
        <v>0</v>
      </c>
      <c r="BJ258" s="653">
        <f t="shared" si="30"/>
        <v>0</v>
      </c>
      <c r="BK258" s="653">
        <f t="shared" si="30"/>
        <v>0</v>
      </c>
      <c r="BL258" s="653">
        <f t="shared" si="30"/>
        <v>0</v>
      </c>
      <c r="BM258" s="653">
        <f t="shared" si="30"/>
        <v>0</v>
      </c>
      <c r="BN258" s="470"/>
      <c r="BO258" s="470"/>
      <c r="BP258" s="653">
        <f t="shared" si="31"/>
        <v>0</v>
      </c>
      <c r="BQ258" s="653">
        <f t="shared" si="31"/>
        <v>0</v>
      </c>
      <c r="BR258" s="653">
        <f t="shared" si="31"/>
        <v>0</v>
      </c>
      <c r="BS258" s="653">
        <f t="shared" si="31"/>
        <v>0</v>
      </c>
      <c r="BT258" s="653">
        <f t="shared" si="31"/>
        <v>0</v>
      </c>
      <c r="BU258" s="653">
        <f t="shared" si="31"/>
        <v>0</v>
      </c>
      <c r="BV258" s="653">
        <f t="shared" si="31"/>
        <v>0</v>
      </c>
      <c r="BW258" s="653">
        <f t="shared" si="31"/>
        <v>0</v>
      </c>
      <c r="BX258" s="653">
        <f t="shared" si="31"/>
        <v>0</v>
      </c>
      <c r="BY258" s="653">
        <f t="shared" si="31"/>
        <v>0</v>
      </c>
      <c r="BZ258" s="653">
        <f t="shared" si="31"/>
        <v>0</v>
      </c>
      <c r="CA258" s="653">
        <f t="shared" si="31"/>
        <v>0</v>
      </c>
      <c r="CB258" s="653">
        <f t="shared" si="31"/>
        <v>0</v>
      </c>
      <c r="CC258" s="653">
        <f t="shared" si="31"/>
        <v>0</v>
      </c>
      <c r="CD258" s="653">
        <f t="shared" si="31"/>
        <v>0</v>
      </c>
      <c r="CE258" s="653">
        <f t="shared" si="31"/>
        <v>0</v>
      </c>
      <c r="CF258" s="653">
        <f t="shared" si="31"/>
        <v>0</v>
      </c>
      <c r="CG258" s="653">
        <f t="shared" si="31"/>
        <v>0</v>
      </c>
      <c r="CH258" s="653">
        <f t="shared" si="31"/>
        <v>0</v>
      </c>
      <c r="CI258" s="653">
        <f t="shared" si="31"/>
        <v>0</v>
      </c>
      <c r="CJ258" s="653">
        <f t="shared" si="31"/>
        <v>0</v>
      </c>
      <c r="CK258" s="653"/>
      <c r="CL258" s="653"/>
      <c r="CM258" s="470"/>
      <c r="CN258" s="653">
        <f t="shared" si="32"/>
        <v>0</v>
      </c>
      <c r="CO258" s="653">
        <f t="shared" si="32"/>
        <v>0</v>
      </c>
      <c r="CP258" s="653">
        <f t="shared" si="32"/>
        <v>0</v>
      </c>
      <c r="CQ258" s="470"/>
      <c r="CR258" s="470"/>
      <c r="CS258" s="653">
        <f t="shared" si="33"/>
        <v>0</v>
      </c>
      <c r="CT258" s="653">
        <f t="shared" si="33"/>
        <v>0</v>
      </c>
      <c r="CU258" s="653">
        <f t="shared" si="33"/>
        <v>0</v>
      </c>
      <c r="CV258" s="653">
        <f t="shared" si="33"/>
        <v>0</v>
      </c>
      <c r="CW258" s="653">
        <f t="shared" si="33"/>
        <v>0</v>
      </c>
      <c r="CX258" s="653">
        <f t="shared" si="33"/>
        <v>0</v>
      </c>
      <c r="CY258" s="653">
        <f t="shared" si="33"/>
        <v>0</v>
      </c>
      <c r="CZ258" s="470"/>
      <c r="DA258" s="470"/>
      <c r="DB258" s="653">
        <f t="shared" si="34"/>
        <v>0</v>
      </c>
      <c r="DC258" s="653">
        <f t="shared" si="34"/>
        <v>0</v>
      </c>
      <c r="DD258" s="653">
        <f t="shared" si="34"/>
        <v>0</v>
      </c>
      <c r="DE258" s="653">
        <f t="shared" si="34"/>
        <v>0</v>
      </c>
      <c r="DF258" s="653">
        <f t="shared" si="34"/>
        <v>0</v>
      </c>
      <c r="DG258" s="653">
        <f t="shared" si="34"/>
        <v>0</v>
      </c>
      <c r="DH258" s="653">
        <f t="shared" si="34"/>
        <v>0</v>
      </c>
      <c r="DI258" s="653">
        <f t="shared" si="34"/>
        <v>0</v>
      </c>
      <c r="DJ258" s="653">
        <f t="shared" si="34"/>
        <v>0</v>
      </c>
      <c r="DK258" s="653">
        <f t="shared" si="34"/>
        <v>0</v>
      </c>
      <c r="DL258" s="653">
        <f t="shared" si="34"/>
        <v>0</v>
      </c>
      <c r="DM258" s="653">
        <f t="shared" si="34"/>
        <v>0</v>
      </c>
      <c r="DN258" s="653">
        <f t="shared" si="34"/>
        <v>0</v>
      </c>
      <c r="DO258" s="653">
        <f t="shared" si="34"/>
        <v>0</v>
      </c>
      <c r="DP258" s="653">
        <f t="shared" si="34"/>
        <v>0</v>
      </c>
      <c r="DQ258" s="653">
        <f t="shared" si="34"/>
        <v>0</v>
      </c>
      <c r="DR258" s="653">
        <f t="shared" si="34"/>
        <v>0</v>
      </c>
      <c r="DS258" s="653">
        <f t="shared" si="34"/>
        <v>0</v>
      </c>
      <c r="DT258" s="653">
        <f t="shared" si="34"/>
        <v>0</v>
      </c>
      <c r="DU258" s="653"/>
      <c r="DV258" s="653"/>
      <c r="DW258" s="470"/>
      <c r="DX258" s="470"/>
      <c r="DY258" s="474">
        <f t="shared" si="45"/>
        <v>0</v>
      </c>
      <c r="EA258" s="730">
        <f t="shared" si="46"/>
        <v>0</v>
      </c>
      <c r="EG258" s="731">
        <f t="shared" si="35"/>
        <v>9.9999999999999995E-8</v>
      </c>
      <c r="EH258" s="655">
        <f t="shared" si="47"/>
        <v>1500</v>
      </c>
      <c r="EI258" s="655">
        <f t="shared" si="48"/>
        <v>0</v>
      </c>
      <c r="EJ258" s="655">
        <f t="shared" si="49"/>
        <v>0</v>
      </c>
      <c r="EK258" s="655">
        <f t="shared" si="50"/>
        <v>0</v>
      </c>
      <c r="EL258" s="655">
        <f t="shared" si="51"/>
        <v>1500</v>
      </c>
      <c r="EM258" s="655"/>
      <c r="EN258" s="655">
        <f t="shared" si="52"/>
        <v>5000</v>
      </c>
      <c r="EO258" s="655">
        <f t="shared" si="53"/>
        <v>0</v>
      </c>
      <c r="EP258" s="655">
        <f t="shared" si="54"/>
        <v>5000</v>
      </c>
      <c r="EQ258" s="481"/>
      <c r="ER258" s="655">
        <f t="shared" si="55"/>
        <v>1500</v>
      </c>
      <c r="ES258" s="656">
        <f t="shared" si="56"/>
        <v>1500</v>
      </c>
      <c r="ET258" s="656">
        <f t="shared" si="57"/>
        <v>0</v>
      </c>
      <c r="EU258" s="656">
        <f t="shared" si="58"/>
        <v>0</v>
      </c>
      <c r="EV258" s="656">
        <f t="shared" si="59"/>
        <v>1500</v>
      </c>
      <c r="EW258" s="483">
        <f t="shared" si="60"/>
        <v>1500</v>
      </c>
      <c r="EX258" s="398">
        <f t="shared" si="61"/>
        <v>0</v>
      </c>
      <c r="EY258" s="285" t="str">
        <f t="shared" si="36"/>
        <v>X</v>
      </c>
      <c r="EZ258" s="628">
        <f t="shared" si="62"/>
        <v>0</v>
      </c>
      <c r="FA258" s="628">
        <f t="shared" si="63"/>
        <v>0</v>
      </c>
    </row>
    <row r="259" spans="1:157" ht="15" customHeight="1">
      <c r="A259" s="244">
        <f t="shared" si="37"/>
        <v>-0.05</v>
      </c>
      <c r="B259" s="637">
        <v>7</v>
      </c>
      <c r="C259" s="644">
        <f t="shared" si="38"/>
        <v>0</v>
      </c>
      <c r="D259" s="628">
        <f t="shared" si="23"/>
        <v>0</v>
      </c>
      <c r="E259" s="645">
        <f t="shared" si="64"/>
        <v>0</v>
      </c>
      <c r="F259" s="645">
        <f>([1]APPLICATION!AA27)+A259</f>
        <v>-0.05</v>
      </c>
      <c r="G259" s="645">
        <f t="shared" si="24"/>
        <v>0</v>
      </c>
      <c r="H259" s="445">
        <f t="shared" si="65"/>
        <v>0</v>
      </c>
      <c r="I259" s="646">
        <f t="shared" si="65"/>
        <v>-0.1</v>
      </c>
      <c r="J259" s="646">
        <f t="shared" si="25"/>
        <v>0</v>
      </c>
      <c r="K259" s="645">
        <f>IF([1]APPLICATION!S27="N",-0.2,0)</f>
        <v>0</v>
      </c>
      <c r="L259" s="645">
        <f t="shared" si="66"/>
        <v>0</v>
      </c>
      <c r="N259" s="645">
        <f t="shared" si="67"/>
        <v>0</v>
      </c>
      <c r="O259" s="645">
        <f t="shared" si="26"/>
        <v>0</v>
      </c>
      <c r="P259" s="645">
        <f t="shared" si="26"/>
        <v>0</v>
      </c>
      <c r="Q259" s="645">
        <f t="shared" si="27"/>
        <v>0</v>
      </c>
      <c r="R259" s="646">
        <f t="shared" si="39"/>
        <v>0</v>
      </c>
      <c r="S259" s="646">
        <f t="shared" si="68"/>
        <v>0</v>
      </c>
      <c r="T259" s="399"/>
      <c r="U259" s="662">
        <f t="shared" si="40"/>
        <v>0</v>
      </c>
      <c r="V259" s="637"/>
      <c r="W259" s="476">
        <f t="shared" si="41"/>
        <v>-0.15000000000000002</v>
      </c>
      <c r="Y259" s="475">
        <f t="shared" si="42"/>
        <v>0</v>
      </c>
      <c r="Z259" s="475">
        <f t="shared" si="43"/>
        <v>0</v>
      </c>
      <c r="AA259" s="395">
        <v>0</v>
      </c>
      <c r="AC259" s="729"/>
      <c r="AD259" s="396">
        <f t="shared" si="44"/>
        <v>0</v>
      </c>
      <c r="AE259" s="396"/>
      <c r="AF259" s="396"/>
      <c r="AH259" s="653">
        <f t="shared" si="28"/>
        <v>0</v>
      </c>
      <c r="AI259" s="653">
        <f t="shared" si="28"/>
        <v>0</v>
      </c>
      <c r="AJ259" s="653">
        <f t="shared" si="28"/>
        <v>0</v>
      </c>
      <c r="AK259" s="653">
        <f t="shared" si="28"/>
        <v>0</v>
      </c>
      <c r="AL259" s="653"/>
      <c r="AM259" s="653"/>
      <c r="AN259" s="653"/>
      <c r="AO259" s="653">
        <f t="shared" si="29"/>
        <v>0</v>
      </c>
      <c r="AP259" s="653">
        <f t="shared" si="29"/>
        <v>0</v>
      </c>
      <c r="AQ259" s="653">
        <f t="shared" si="29"/>
        <v>0</v>
      </c>
      <c r="AR259" s="653">
        <f t="shared" si="29"/>
        <v>0</v>
      </c>
      <c r="AS259" s="653">
        <f t="shared" si="29"/>
        <v>0</v>
      </c>
      <c r="AT259" s="653">
        <f t="shared" si="29"/>
        <v>0</v>
      </c>
      <c r="AU259" s="653">
        <f t="shared" si="29"/>
        <v>0</v>
      </c>
      <c r="AV259" s="653">
        <f t="shared" si="29"/>
        <v>0</v>
      </c>
      <c r="AW259" s="653">
        <f t="shared" si="29"/>
        <v>0</v>
      </c>
      <c r="AX259" s="653">
        <f t="shared" si="29"/>
        <v>0</v>
      </c>
      <c r="AY259" s="653">
        <f t="shared" si="29"/>
        <v>0</v>
      </c>
      <c r="AZ259" s="653"/>
      <c r="BA259" s="653"/>
      <c r="BB259" s="653" t="s">
        <v>2</v>
      </c>
      <c r="BC259" s="653"/>
      <c r="BD259" s="653">
        <f t="shared" si="30"/>
        <v>0</v>
      </c>
      <c r="BE259" s="653">
        <f t="shared" si="30"/>
        <v>0</v>
      </c>
      <c r="BF259" s="653">
        <f t="shared" si="30"/>
        <v>0</v>
      </c>
      <c r="BG259" s="653">
        <f t="shared" si="30"/>
        <v>0</v>
      </c>
      <c r="BH259" s="653">
        <f t="shared" si="30"/>
        <v>0</v>
      </c>
      <c r="BI259" s="653">
        <f t="shared" si="30"/>
        <v>0</v>
      </c>
      <c r="BJ259" s="653">
        <f t="shared" si="30"/>
        <v>0</v>
      </c>
      <c r="BK259" s="653">
        <f t="shared" si="30"/>
        <v>0</v>
      </c>
      <c r="BL259" s="653">
        <f t="shared" si="30"/>
        <v>0</v>
      </c>
      <c r="BM259" s="653">
        <f t="shared" si="30"/>
        <v>0</v>
      </c>
      <c r="BN259" s="470"/>
      <c r="BO259" s="470"/>
      <c r="BP259" s="653">
        <f t="shared" si="31"/>
        <v>0</v>
      </c>
      <c r="BQ259" s="653">
        <f t="shared" si="31"/>
        <v>0</v>
      </c>
      <c r="BR259" s="653">
        <f t="shared" si="31"/>
        <v>0</v>
      </c>
      <c r="BS259" s="653">
        <f t="shared" si="31"/>
        <v>0</v>
      </c>
      <c r="BT259" s="653">
        <f t="shared" si="31"/>
        <v>0</v>
      </c>
      <c r="BU259" s="653">
        <f t="shared" si="31"/>
        <v>0</v>
      </c>
      <c r="BV259" s="653">
        <f t="shared" si="31"/>
        <v>0</v>
      </c>
      <c r="BW259" s="653">
        <f t="shared" si="31"/>
        <v>0</v>
      </c>
      <c r="BX259" s="653">
        <f t="shared" si="31"/>
        <v>0</v>
      </c>
      <c r="BY259" s="653">
        <f t="shared" si="31"/>
        <v>0</v>
      </c>
      <c r="BZ259" s="653">
        <f t="shared" si="31"/>
        <v>0</v>
      </c>
      <c r="CA259" s="653">
        <f t="shared" si="31"/>
        <v>0</v>
      </c>
      <c r="CB259" s="653">
        <f t="shared" si="31"/>
        <v>0</v>
      </c>
      <c r="CC259" s="653">
        <f t="shared" si="31"/>
        <v>0</v>
      </c>
      <c r="CD259" s="653">
        <f t="shared" si="31"/>
        <v>0</v>
      </c>
      <c r="CE259" s="653">
        <f t="shared" si="31"/>
        <v>0</v>
      </c>
      <c r="CF259" s="653">
        <f t="shared" si="31"/>
        <v>0</v>
      </c>
      <c r="CG259" s="653">
        <f t="shared" si="31"/>
        <v>0</v>
      </c>
      <c r="CH259" s="653">
        <f t="shared" si="31"/>
        <v>0</v>
      </c>
      <c r="CI259" s="653">
        <f t="shared" si="31"/>
        <v>0</v>
      </c>
      <c r="CJ259" s="653">
        <f t="shared" si="31"/>
        <v>0</v>
      </c>
      <c r="CK259" s="653"/>
      <c r="CL259" s="653"/>
      <c r="CM259" s="470"/>
      <c r="CN259" s="653">
        <f t="shared" si="32"/>
        <v>0</v>
      </c>
      <c r="CO259" s="653">
        <f t="shared" si="32"/>
        <v>0</v>
      </c>
      <c r="CP259" s="653">
        <f t="shared" si="32"/>
        <v>0</v>
      </c>
      <c r="CQ259" s="470"/>
      <c r="CR259" s="470"/>
      <c r="CS259" s="653">
        <f t="shared" si="33"/>
        <v>0</v>
      </c>
      <c r="CT259" s="653">
        <f t="shared" si="33"/>
        <v>0</v>
      </c>
      <c r="CU259" s="653">
        <f t="shared" si="33"/>
        <v>0</v>
      </c>
      <c r="CV259" s="653">
        <f t="shared" si="33"/>
        <v>0</v>
      </c>
      <c r="CW259" s="653">
        <f t="shared" si="33"/>
        <v>0</v>
      </c>
      <c r="CX259" s="653">
        <f t="shared" si="33"/>
        <v>0</v>
      </c>
      <c r="CY259" s="653">
        <f t="shared" si="33"/>
        <v>0</v>
      </c>
      <c r="CZ259" s="470"/>
      <c r="DA259" s="470"/>
      <c r="DB259" s="653">
        <f t="shared" si="34"/>
        <v>0</v>
      </c>
      <c r="DC259" s="653">
        <f t="shared" si="34"/>
        <v>0</v>
      </c>
      <c r="DD259" s="653">
        <f t="shared" si="34"/>
        <v>0</v>
      </c>
      <c r="DE259" s="653">
        <f t="shared" si="34"/>
        <v>0</v>
      </c>
      <c r="DF259" s="653">
        <f t="shared" si="34"/>
        <v>0</v>
      </c>
      <c r="DG259" s="653">
        <f t="shared" si="34"/>
        <v>0</v>
      </c>
      <c r="DH259" s="653">
        <f t="shared" si="34"/>
        <v>0</v>
      </c>
      <c r="DI259" s="653">
        <f t="shared" si="34"/>
        <v>0</v>
      </c>
      <c r="DJ259" s="653">
        <f t="shared" si="34"/>
        <v>0</v>
      </c>
      <c r="DK259" s="653">
        <f t="shared" si="34"/>
        <v>0</v>
      </c>
      <c r="DL259" s="653">
        <f t="shared" si="34"/>
        <v>0</v>
      </c>
      <c r="DM259" s="653">
        <f t="shared" si="34"/>
        <v>0</v>
      </c>
      <c r="DN259" s="653">
        <f t="shared" si="34"/>
        <v>0</v>
      </c>
      <c r="DO259" s="653">
        <f t="shared" si="34"/>
        <v>0</v>
      </c>
      <c r="DP259" s="653">
        <f t="shared" si="34"/>
        <v>0</v>
      </c>
      <c r="DQ259" s="653">
        <f t="shared" si="34"/>
        <v>0</v>
      </c>
      <c r="DR259" s="653">
        <f t="shared" si="34"/>
        <v>0</v>
      </c>
      <c r="DS259" s="653">
        <f t="shared" si="34"/>
        <v>0</v>
      </c>
      <c r="DT259" s="653">
        <f t="shared" si="34"/>
        <v>0</v>
      </c>
      <c r="DU259" s="653"/>
      <c r="DV259" s="653"/>
      <c r="DW259" s="470"/>
      <c r="DX259" s="470"/>
      <c r="DY259" s="474">
        <f t="shared" si="45"/>
        <v>0</v>
      </c>
      <c r="EA259" s="730">
        <f t="shared" si="46"/>
        <v>0</v>
      </c>
      <c r="EG259" s="731">
        <f t="shared" si="35"/>
        <v>9.9999999999999995E-8</v>
      </c>
      <c r="EH259" s="655">
        <f t="shared" si="47"/>
        <v>1500</v>
      </c>
      <c r="EI259" s="655">
        <f t="shared" si="48"/>
        <v>0</v>
      </c>
      <c r="EJ259" s="655">
        <f t="shared" si="49"/>
        <v>0</v>
      </c>
      <c r="EK259" s="655">
        <f t="shared" si="50"/>
        <v>0</v>
      </c>
      <c r="EL259" s="655">
        <f t="shared" si="51"/>
        <v>1500</v>
      </c>
      <c r="EM259" s="655"/>
      <c r="EN259" s="655">
        <f t="shared" si="52"/>
        <v>5000</v>
      </c>
      <c r="EO259" s="655">
        <f t="shared" si="53"/>
        <v>0</v>
      </c>
      <c r="EP259" s="655">
        <f t="shared" si="54"/>
        <v>5000</v>
      </c>
      <c r="EQ259" s="481"/>
      <c r="ER259" s="655">
        <f t="shared" si="55"/>
        <v>1500</v>
      </c>
      <c r="ES259" s="656">
        <f t="shared" si="56"/>
        <v>1500</v>
      </c>
      <c r="ET259" s="656">
        <f t="shared" si="57"/>
        <v>0</v>
      </c>
      <c r="EU259" s="656">
        <f t="shared" si="58"/>
        <v>0</v>
      </c>
      <c r="EV259" s="656">
        <f t="shared" si="59"/>
        <v>1500</v>
      </c>
      <c r="EW259" s="483">
        <f t="shared" si="60"/>
        <v>1500</v>
      </c>
      <c r="EX259" s="398">
        <f t="shared" si="61"/>
        <v>0</v>
      </c>
      <c r="EY259" s="285" t="str">
        <f t="shared" si="36"/>
        <v>X</v>
      </c>
      <c r="EZ259" s="628">
        <f t="shared" si="62"/>
        <v>0</v>
      </c>
      <c r="FA259" s="628">
        <f t="shared" si="63"/>
        <v>0</v>
      </c>
    </row>
    <row r="260" spans="1:157" ht="15" customHeight="1">
      <c r="A260" s="244">
        <f t="shared" si="37"/>
        <v>-0.05</v>
      </c>
      <c r="B260" s="637">
        <v>8</v>
      </c>
      <c r="C260" s="644">
        <f t="shared" si="38"/>
        <v>0</v>
      </c>
      <c r="D260" s="628">
        <f t="shared" si="23"/>
        <v>0</v>
      </c>
      <c r="E260" s="645">
        <f t="shared" si="64"/>
        <v>0</v>
      </c>
      <c r="F260" s="645">
        <f>([1]APPLICATION!AA28)+A260</f>
        <v>-0.05</v>
      </c>
      <c r="G260" s="645">
        <f t="shared" si="24"/>
        <v>0</v>
      </c>
      <c r="H260" s="445">
        <f t="shared" si="65"/>
        <v>0</v>
      </c>
      <c r="I260" s="646">
        <f t="shared" si="65"/>
        <v>-0.1</v>
      </c>
      <c r="J260" s="646">
        <f t="shared" si="25"/>
        <v>0</v>
      </c>
      <c r="K260" s="645">
        <f>IF([1]APPLICATION!S28="N",-0.2,0)</f>
        <v>0</v>
      </c>
      <c r="L260" s="645">
        <f t="shared" si="66"/>
        <v>0</v>
      </c>
      <c r="N260" s="645">
        <f t="shared" si="67"/>
        <v>0</v>
      </c>
      <c r="O260" s="645">
        <f t="shared" si="26"/>
        <v>0</v>
      </c>
      <c r="P260" s="645">
        <f t="shared" si="26"/>
        <v>0</v>
      </c>
      <c r="Q260" s="645">
        <f t="shared" si="27"/>
        <v>0</v>
      </c>
      <c r="R260" s="646">
        <f t="shared" si="39"/>
        <v>0</v>
      </c>
      <c r="S260" s="646">
        <f t="shared" si="68"/>
        <v>0</v>
      </c>
      <c r="T260" s="399"/>
      <c r="U260" s="662">
        <f t="shared" si="40"/>
        <v>0</v>
      </c>
      <c r="V260" s="637"/>
      <c r="W260" s="476">
        <f t="shared" si="41"/>
        <v>-0.15000000000000002</v>
      </c>
      <c r="Y260" s="475">
        <f t="shared" si="42"/>
        <v>0</v>
      </c>
      <c r="Z260" s="475">
        <f t="shared" si="43"/>
        <v>0</v>
      </c>
      <c r="AA260" s="395">
        <v>0</v>
      </c>
      <c r="AC260" s="729"/>
      <c r="AD260" s="396">
        <f t="shared" si="44"/>
        <v>0</v>
      </c>
      <c r="AE260" s="396"/>
      <c r="AF260" s="396"/>
      <c r="AH260" s="653">
        <f t="shared" si="28"/>
        <v>0</v>
      </c>
      <c r="AI260" s="653">
        <f t="shared" si="28"/>
        <v>0</v>
      </c>
      <c r="AJ260" s="653">
        <f t="shared" si="28"/>
        <v>0</v>
      </c>
      <c r="AK260" s="653">
        <f t="shared" si="28"/>
        <v>0</v>
      </c>
      <c r="AL260" s="653"/>
      <c r="AM260" s="653"/>
      <c r="AN260" s="653"/>
      <c r="AO260" s="653">
        <f t="shared" si="29"/>
        <v>0</v>
      </c>
      <c r="AP260" s="653">
        <f t="shared" si="29"/>
        <v>0</v>
      </c>
      <c r="AQ260" s="653">
        <f t="shared" si="29"/>
        <v>0</v>
      </c>
      <c r="AR260" s="653">
        <f t="shared" si="29"/>
        <v>0</v>
      </c>
      <c r="AS260" s="653">
        <f t="shared" si="29"/>
        <v>0</v>
      </c>
      <c r="AT260" s="653">
        <f t="shared" si="29"/>
        <v>0</v>
      </c>
      <c r="AU260" s="653">
        <f t="shared" si="29"/>
        <v>0</v>
      </c>
      <c r="AV260" s="653">
        <f t="shared" si="29"/>
        <v>0</v>
      </c>
      <c r="AW260" s="653">
        <f t="shared" si="29"/>
        <v>0</v>
      </c>
      <c r="AX260" s="653">
        <f t="shared" si="29"/>
        <v>0</v>
      </c>
      <c r="AY260" s="653">
        <f t="shared" si="29"/>
        <v>0</v>
      </c>
      <c r="AZ260" s="653"/>
      <c r="BA260" s="653"/>
      <c r="BB260" s="653" t="s">
        <v>2</v>
      </c>
      <c r="BC260" s="653"/>
      <c r="BD260" s="653">
        <f t="shared" si="30"/>
        <v>0</v>
      </c>
      <c r="BE260" s="653">
        <f t="shared" si="30"/>
        <v>0</v>
      </c>
      <c r="BF260" s="653">
        <f t="shared" si="30"/>
        <v>0</v>
      </c>
      <c r="BG260" s="653">
        <f t="shared" si="30"/>
        <v>0</v>
      </c>
      <c r="BH260" s="653">
        <f t="shared" si="30"/>
        <v>0</v>
      </c>
      <c r="BI260" s="653">
        <f t="shared" si="30"/>
        <v>0</v>
      </c>
      <c r="BJ260" s="653">
        <f t="shared" si="30"/>
        <v>0</v>
      </c>
      <c r="BK260" s="653">
        <f t="shared" si="30"/>
        <v>0</v>
      </c>
      <c r="BL260" s="653">
        <f t="shared" si="30"/>
        <v>0</v>
      </c>
      <c r="BM260" s="653">
        <f t="shared" si="30"/>
        <v>0</v>
      </c>
      <c r="BN260" s="470"/>
      <c r="BO260" s="470"/>
      <c r="BP260" s="653">
        <f t="shared" si="31"/>
        <v>0</v>
      </c>
      <c r="BQ260" s="653">
        <f t="shared" si="31"/>
        <v>0</v>
      </c>
      <c r="BR260" s="653">
        <f t="shared" si="31"/>
        <v>0</v>
      </c>
      <c r="BS260" s="653">
        <f t="shared" si="31"/>
        <v>0</v>
      </c>
      <c r="BT260" s="653">
        <f t="shared" si="31"/>
        <v>0</v>
      </c>
      <c r="BU260" s="653">
        <f t="shared" si="31"/>
        <v>0</v>
      </c>
      <c r="BV260" s="653">
        <f t="shared" si="31"/>
        <v>0</v>
      </c>
      <c r="BW260" s="653">
        <f t="shared" si="31"/>
        <v>0</v>
      </c>
      <c r="BX260" s="653">
        <f t="shared" si="31"/>
        <v>0</v>
      </c>
      <c r="BY260" s="653">
        <f t="shared" si="31"/>
        <v>0</v>
      </c>
      <c r="BZ260" s="653">
        <f t="shared" si="31"/>
        <v>0</v>
      </c>
      <c r="CA260" s="653">
        <f t="shared" si="31"/>
        <v>0</v>
      </c>
      <c r="CB260" s="653">
        <f t="shared" si="31"/>
        <v>0</v>
      </c>
      <c r="CC260" s="653">
        <f t="shared" si="31"/>
        <v>0</v>
      </c>
      <c r="CD260" s="653">
        <f t="shared" si="31"/>
        <v>0</v>
      </c>
      <c r="CE260" s="653">
        <f t="shared" si="31"/>
        <v>0</v>
      </c>
      <c r="CF260" s="653">
        <f t="shared" si="31"/>
        <v>0</v>
      </c>
      <c r="CG260" s="653">
        <f t="shared" si="31"/>
        <v>0</v>
      </c>
      <c r="CH260" s="653">
        <f t="shared" si="31"/>
        <v>0</v>
      </c>
      <c r="CI260" s="653">
        <f t="shared" si="31"/>
        <v>0</v>
      </c>
      <c r="CJ260" s="653">
        <f t="shared" si="31"/>
        <v>0</v>
      </c>
      <c r="CK260" s="653"/>
      <c r="CL260" s="653"/>
      <c r="CM260" s="470"/>
      <c r="CN260" s="653">
        <f t="shared" si="32"/>
        <v>0</v>
      </c>
      <c r="CO260" s="653">
        <f t="shared" si="32"/>
        <v>0</v>
      </c>
      <c r="CP260" s="653">
        <f t="shared" si="32"/>
        <v>0</v>
      </c>
      <c r="CQ260" s="470"/>
      <c r="CR260" s="470"/>
      <c r="CS260" s="653">
        <f t="shared" si="33"/>
        <v>0</v>
      </c>
      <c r="CT260" s="653">
        <f t="shared" si="33"/>
        <v>0</v>
      </c>
      <c r="CU260" s="653">
        <f t="shared" si="33"/>
        <v>0</v>
      </c>
      <c r="CV260" s="653">
        <f t="shared" si="33"/>
        <v>0</v>
      </c>
      <c r="CW260" s="653">
        <f t="shared" si="33"/>
        <v>0</v>
      </c>
      <c r="CX260" s="653">
        <f t="shared" si="33"/>
        <v>0</v>
      </c>
      <c r="CY260" s="653">
        <f t="shared" si="33"/>
        <v>0</v>
      </c>
      <c r="CZ260" s="470"/>
      <c r="DA260" s="470"/>
      <c r="DB260" s="653">
        <f t="shared" si="34"/>
        <v>0</v>
      </c>
      <c r="DC260" s="653">
        <f t="shared" si="34"/>
        <v>0</v>
      </c>
      <c r="DD260" s="653">
        <f t="shared" si="34"/>
        <v>0</v>
      </c>
      <c r="DE260" s="653">
        <f t="shared" si="34"/>
        <v>0</v>
      </c>
      <c r="DF260" s="653">
        <f t="shared" si="34"/>
        <v>0</v>
      </c>
      <c r="DG260" s="653">
        <f t="shared" si="34"/>
        <v>0</v>
      </c>
      <c r="DH260" s="653">
        <f t="shared" si="34"/>
        <v>0</v>
      </c>
      <c r="DI260" s="653">
        <f t="shared" si="34"/>
        <v>0</v>
      </c>
      <c r="DJ260" s="653">
        <f t="shared" si="34"/>
        <v>0</v>
      </c>
      <c r="DK260" s="653">
        <f t="shared" si="34"/>
        <v>0</v>
      </c>
      <c r="DL260" s="653">
        <f t="shared" si="34"/>
        <v>0</v>
      </c>
      <c r="DM260" s="653">
        <f t="shared" si="34"/>
        <v>0</v>
      </c>
      <c r="DN260" s="653">
        <f t="shared" si="34"/>
        <v>0</v>
      </c>
      <c r="DO260" s="653">
        <f t="shared" si="34"/>
        <v>0</v>
      </c>
      <c r="DP260" s="653">
        <f t="shared" si="34"/>
        <v>0</v>
      </c>
      <c r="DQ260" s="653">
        <f t="shared" si="34"/>
        <v>0</v>
      </c>
      <c r="DR260" s="653">
        <f t="shared" si="34"/>
        <v>0</v>
      </c>
      <c r="DS260" s="653">
        <f t="shared" si="34"/>
        <v>0</v>
      </c>
      <c r="DT260" s="653">
        <f t="shared" si="34"/>
        <v>0</v>
      </c>
      <c r="DU260" s="653"/>
      <c r="DV260" s="653"/>
      <c r="DW260" s="470"/>
      <c r="DX260" s="470"/>
      <c r="DY260" s="474">
        <f t="shared" si="45"/>
        <v>0</v>
      </c>
      <c r="EA260" s="730">
        <f t="shared" si="46"/>
        <v>0</v>
      </c>
      <c r="EG260" s="731">
        <f t="shared" si="35"/>
        <v>9.9999999999999995E-8</v>
      </c>
      <c r="EH260" s="655">
        <f t="shared" si="47"/>
        <v>1500</v>
      </c>
      <c r="EI260" s="655">
        <f t="shared" si="48"/>
        <v>0</v>
      </c>
      <c r="EJ260" s="655">
        <f t="shared" si="49"/>
        <v>0</v>
      </c>
      <c r="EK260" s="655">
        <f t="shared" si="50"/>
        <v>0</v>
      </c>
      <c r="EL260" s="655">
        <f t="shared" si="51"/>
        <v>1500</v>
      </c>
      <c r="EM260" s="655"/>
      <c r="EN260" s="655">
        <f t="shared" si="52"/>
        <v>5000</v>
      </c>
      <c r="EO260" s="655">
        <f t="shared" si="53"/>
        <v>0</v>
      </c>
      <c r="EP260" s="655">
        <f t="shared" si="54"/>
        <v>5000</v>
      </c>
      <c r="EQ260" s="481"/>
      <c r="ER260" s="655">
        <f t="shared" si="55"/>
        <v>1500</v>
      </c>
      <c r="ES260" s="656">
        <f t="shared" si="56"/>
        <v>1500</v>
      </c>
      <c r="ET260" s="656">
        <f t="shared" si="57"/>
        <v>0</v>
      </c>
      <c r="EU260" s="656">
        <f t="shared" si="58"/>
        <v>0</v>
      </c>
      <c r="EV260" s="656">
        <f t="shared" si="59"/>
        <v>1500</v>
      </c>
      <c r="EW260" s="483">
        <f t="shared" si="60"/>
        <v>1500</v>
      </c>
      <c r="EX260" s="398">
        <f t="shared" si="61"/>
        <v>0</v>
      </c>
      <c r="EY260" s="285" t="str">
        <f t="shared" si="36"/>
        <v>X</v>
      </c>
      <c r="EZ260" s="628">
        <f t="shared" si="62"/>
        <v>0</v>
      </c>
      <c r="FA260" s="628">
        <f t="shared" si="63"/>
        <v>0</v>
      </c>
    </row>
    <row r="261" spans="1:157" ht="15" customHeight="1">
      <c r="A261" s="244">
        <f t="shared" si="37"/>
        <v>-0.05</v>
      </c>
      <c r="B261" s="637">
        <v>9</v>
      </c>
      <c r="C261" s="644">
        <f t="shared" si="38"/>
        <v>0</v>
      </c>
      <c r="D261" s="628">
        <f t="shared" si="23"/>
        <v>0</v>
      </c>
      <c r="E261" s="645">
        <f t="shared" si="64"/>
        <v>0</v>
      </c>
      <c r="F261" s="645">
        <f>([1]APPLICATION!AA29)+A261</f>
        <v>-0.05</v>
      </c>
      <c r="G261" s="645">
        <f t="shared" si="24"/>
        <v>0</v>
      </c>
      <c r="H261" s="445">
        <f t="shared" si="65"/>
        <v>0</v>
      </c>
      <c r="I261" s="646">
        <f t="shared" si="65"/>
        <v>-0.1</v>
      </c>
      <c r="J261" s="646">
        <f t="shared" si="25"/>
        <v>0</v>
      </c>
      <c r="K261" s="645">
        <f>IF([1]APPLICATION!S29="N",-0.2,0)</f>
        <v>0</v>
      </c>
      <c r="L261" s="645">
        <f t="shared" si="66"/>
        <v>0</v>
      </c>
      <c r="N261" s="645">
        <f t="shared" si="67"/>
        <v>0</v>
      </c>
      <c r="O261" s="645">
        <f t="shared" si="26"/>
        <v>0</v>
      </c>
      <c r="P261" s="645">
        <f t="shared" si="26"/>
        <v>0</v>
      </c>
      <c r="Q261" s="645">
        <f t="shared" si="27"/>
        <v>0</v>
      </c>
      <c r="R261" s="646">
        <f t="shared" si="39"/>
        <v>0</v>
      </c>
      <c r="S261" s="646">
        <f t="shared" si="68"/>
        <v>0</v>
      </c>
      <c r="T261" s="399"/>
      <c r="U261" s="662">
        <f t="shared" si="40"/>
        <v>0</v>
      </c>
      <c r="V261" s="637"/>
      <c r="W261" s="476">
        <f t="shared" si="41"/>
        <v>-0.15000000000000002</v>
      </c>
      <c r="Y261" s="475">
        <f t="shared" si="42"/>
        <v>0</v>
      </c>
      <c r="Z261" s="475">
        <f t="shared" si="43"/>
        <v>0</v>
      </c>
      <c r="AA261" s="395">
        <v>0</v>
      </c>
      <c r="AC261" s="729"/>
      <c r="AD261" s="396">
        <f t="shared" si="44"/>
        <v>0</v>
      </c>
      <c r="AE261" s="396"/>
      <c r="AF261" s="396"/>
      <c r="AH261" s="653">
        <f t="shared" si="28"/>
        <v>0</v>
      </c>
      <c r="AI261" s="653">
        <f t="shared" si="28"/>
        <v>0</v>
      </c>
      <c r="AJ261" s="653">
        <f t="shared" si="28"/>
        <v>0</v>
      </c>
      <c r="AK261" s="653">
        <f t="shared" si="28"/>
        <v>0</v>
      </c>
      <c r="AL261" s="653"/>
      <c r="AM261" s="653"/>
      <c r="AN261" s="653"/>
      <c r="AO261" s="653">
        <f t="shared" si="29"/>
        <v>0</v>
      </c>
      <c r="AP261" s="653">
        <f t="shared" si="29"/>
        <v>0</v>
      </c>
      <c r="AQ261" s="653">
        <f t="shared" si="29"/>
        <v>0</v>
      </c>
      <c r="AR261" s="653">
        <f t="shared" si="29"/>
        <v>0</v>
      </c>
      <c r="AS261" s="653">
        <f t="shared" si="29"/>
        <v>0</v>
      </c>
      <c r="AT261" s="653">
        <f t="shared" si="29"/>
        <v>0</v>
      </c>
      <c r="AU261" s="653">
        <f t="shared" si="29"/>
        <v>0</v>
      </c>
      <c r="AV261" s="653">
        <f t="shared" si="29"/>
        <v>0</v>
      </c>
      <c r="AW261" s="653">
        <f t="shared" si="29"/>
        <v>0</v>
      </c>
      <c r="AX261" s="653">
        <f t="shared" si="29"/>
        <v>0</v>
      </c>
      <c r="AY261" s="653">
        <f t="shared" si="29"/>
        <v>0</v>
      </c>
      <c r="AZ261" s="653"/>
      <c r="BA261" s="653"/>
      <c r="BB261" s="653" t="s">
        <v>2</v>
      </c>
      <c r="BC261" s="653"/>
      <c r="BD261" s="653">
        <f t="shared" si="30"/>
        <v>0</v>
      </c>
      <c r="BE261" s="653">
        <f t="shared" si="30"/>
        <v>0</v>
      </c>
      <c r="BF261" s="653">
        <f t="shared" si="30"/>
        <v>0</v>
      </c>
      <c r="BG261" s="653">
        <f t="shared" si="30"/>
        <v>0</v>
      </c>
      <c r="BH261" s="653">
        <f t="shared" si="30"/>
        <v>0</v>
      </c>
      <c r="BI261" s="653">
        <f t="shared" si="30"/>
        <v>0</v>
      </c>
      <c r="BJ261" s="653">
        <f t="shared" si="30"/>
        <v>0</v>
      </c>
      <c r="BK261" s="653">
        <f t="shared" si="30"/>
        <v>0</v>
      </c>
      <c r="BL261" s="653">
        <f t="shared" si="30"/>
        <v>0</v>
      </c>
      <c r="BM261" s="653">
        <f t="shared" si="30"/>
        <v>0</v>
      </c>
      <c r="BN261" s="470"/>
      <c r="BO261" s="470"/>
      <c r="BP261" s="653">
        <f t="shared" si="31"/>
        <v>0</v>
      </c>
      <c r="BQ261" s="653">
        <f t="shared" si="31"/>
        <v>0</v>
      </c>
      <c r="BR261" s="653">
        <f t="shared" si="31"/>
        <v>0</v>
      </c>
      <c r="BS261" s="653">
        <f t="shared" si="31"/>
        <v>0</v>
      </c>
      <c r="BT261" s="653">
        <f t="shared" si="31"/>
        <v>0</v>
      </c>
      <c r="BU261" s="653">
        <f t="shared" si="31"/>
        <v>0</v>
      </c>
      <c r="BV261" s="653">
        <f t="shared" si="31"/>
        <v>0</v>
      </c>
      <c r="BW261" s="653">
        <f t="shared" si="31"/>
        <v>0</v>
      </c>
      <c r="BX261" s="653">
        <f t="shared" si="31"/>
        <v>0</v>
      </c>
      <c r="BY261" s="653">
        <f t="shared" si="31"/>
        <v>0</v>
      </c>
      <c r="BZ261" s="653">
        <f t="shared" si="31"/>
        <v>0</v>
      </c>
      <c r="CA261" s="653">
        <f t="shared" si="31"/>
        <v>0</v>
      </c>
      <c r="CB261" s="653">
        <f t="shared" si="31"/>
        <v>0</v>
      </c>
      <c r="CC261" s="653">
        <f t="shared" si="31"/>
        <v>0</v>
      </c>
      <c r="CD261" s="653">
        <f t="shared" si="31"/>
        <v>0</v>
      </c>
      <c r="CE261" s="653">
        <f t="shared" si="31"/>
        <v>0</v>
      </c>
      <c r="CF261" s="653">
        <f t="shared" si="31"/>
        <v>0</v>
      </c>
      <c r="CG261" s="653">
        <f t="shared" si="31"/>
        <v>0</v>
      </c>
      <c r="CH261" s="653">
        <f t="shared" si="31"/>
        <v>0</v>
      </c>
      <c r="CI261" s="653">
        <f t="shared" si="31"/>
        <v>0</v>
      </c>
      <c r="CJ261" s="653">
        <f t="shared" si="31"/>
        <v>0</v>
      </c>
      <c r="CK261" s="653"/>
      <c r="CL261" s="653"/>
      <c r="CM261" s="470"/>
      <c r="CN261" s="653">
        <f t="shared" si="32"/>
        <v>0</v>
      </c>
      <c r="CO261" s="653">
        <f t="shared" si="32"/>
        <v>0</v>
      </c>
      <c r="CP261" s="653">
        <f t="shared" si="32"/>
        <v>0</v>
      </c>
      <c r="CQ261" s="470"/>
      <c r="CR261" s="470"/>
      <c r="CS261" s="653">
        <f t="shared" si="33"/>
        <v>0</v>
      </c>
      <c r="CT261" s="653">
        <f t="shared" si="33"/>
        <v>0</v>
      </c>
      <c r="CU261" s="653">
        <f t="shared" si="33"/>
        <v>0</v>
      </c>
      <c r="CV261" s="653">
        <f t="shared" si="33"/>
        <v>0</v>
      </c>
      <c r="CW261" s="653">
        <f t="shared" si="33"/>
        <v>0</v>
      </c>
      <c r="CX261" s="653">
        <f t="shared" si="33"/>
        <v>0</v>
      </c>
      <c r="CY261" s="653">
        <f t="shared" si="33"/>
        <v>0</v>
      </c>
      <c r="CZ261" s="470"/>
      <c r="DA261" s="470"/>
      <c r="DB261" s="653">
        <f t="shared" si="34"/>
        <v>0</v>
      </c>
      <c r="DC261" s="653">
        <f t="shared" si="34"/>
        <v>0</v>
      </c>
      <c r="DD261" s="653">
        <f t="shared" si="34"/>
        <v>0</v>
      </c>
      <c r="DE261" s="653">
        <f t="shared" si="34"/>
        <v>0</v>
      </c>
      <c r="DF261" s="653">
        <f t="shared" si="34"/>
        <v>0</v>
      </c>
      <c r="DG261" s="653">
        <f t="shared" si="34"/>
        <v>0</v>
      </c>
      <c r="DH261" s="653">
        <f t="shared" si="34"/>
        <v>0</v>
      </c>
      <c r="DI261" s="653">
        <f t="shared" si="34"/>
        <v>0</v>
      </c>
      <c r="DJ261" s="653">
        <f t="shared" si="34"/>
        <v>0</v>
      </c>
      <c r="DK261" s="653">
        <f t="shared" si="34"/>
        <v>0</v>
      </c>
      <c r="DL261" s="653">
        <f t="shared" si="34"/>
        <v>0</v>
      </c>
      <c r="DM261" s="653">
        <f t="shared" si="34"/>
        <v>0</v>
      </c>
      <c r="DN261" s="653">
        <f t="shared" si="34"/>
        <v>0</v>
      </c>
      <c r="DO261" s="653">
        <f t="shared" si="34"/>
        <v>0</v>
      </c>
      <c r="DP261" s="653">
        <f t="shared" si="34"/>
        <v>0</v>
      </c>
      <c r="DQ261" s="653">
        <f t="shared" si="34"/>
        <v>0</v>
      </c>
      <c r="DR261" s="653">
        <f t="shared" si="34"/>
        <v>0</v>
      </c>
      <c r="DS261" s="653">
        <f t="shared" si="34"/>
        <v>0</v>
      </c>
      <c r="DT261" s="653">
        <f t="shared" si="34"/>
        <v>0</v>
      </c>
      <c r="DU261" s="653"/>
      <c r="DV261" s="653"/>
      <c r="DW261" s="470"/>
      <c r="DX261" s="470"/>
      <c r="DY261" s="474">
        <f t="shared" si="45"/>
        <v>0</v>
      </c>
      <c r="EA261" s="730">
        <f t="shared" si="46"/>
        <v>0</v>
      </c>
      <c r="EG261" s="731">
        <f t="shared" si="35"/>
        <v>9.9999999999999995E-8</v>
      </c>
      <c r="EH261" s="655">
        <f t="shared" si="47"/>
        <v>1500</v>
      </c>
      <c r="EI261" s="655">
        <f t="shared" si="48"/>
        <v>0</v>
      </c>
      <c r="EJ261" s="655">
        <f t="shared" si="49"/>
        <v>0</v>
      </c>
      <c r="EK261" s="655">
        <f t="shared" si="50"/>
        <v>0</v>
      </c>
      <c r="EL261" s="655">
        <f t="shared" si="51"/>
        <v>1500</v>
      </c>
      <c r="EM261" s="655"/>
      <c r="EN261" s="655">
        <f t="shared" si="52"/>
        <v>5000</v>
      </c>
      <c r="EO261" s="655">
        <f>IF(EG261&gt;199999,10000,0)</f>
        <v>0</v>
      </c>
      <c r="EP261" s="655">
        <f t="shared" si="54"/>
        <v>5000</v>
      </c>
      <c r="EQ261" s="481"/>
      <c r="ER261" s="655">
        <f t="shared" si="55"/>
        <v>1500</v>
      </c>
      <c r="ES261" s="656">
        <f t="shared" si="56"/>
        <v>1500</v>
      </c>
      <c r="ET261" s="656">
        <f t="shared" si="57"/>
        <v>0</v>
      </c>
      <c r="EU261" s="656">
        <f t="shared" si="58"/>
        <v>0</v>
      </c>
      <c r="EV261" s="656">
        <f t="shared" si="59"/>
        <v>1500</v>
      </c>
      <c r="EW261" s="483">
        <f t="shared" si="60"/>
        <v>1500</v>
      </c>
      <c r="EX261" s="398">
        <f t="shared" si="61"/>
        <v>0</v>
      </c>
      <c r="EY261" s="285" t="str">
        <f t="shared" si="36"/>
        <v>X</v>
      </c>
      <c r="EZ261" s="628">
        <f t="shared" si="62"/>
        <v>0</v>
      </c>
      <c r="FA261" s="628">
        <f t="shared" si="63"/>
        <v>0</v>
      </c>
    </row>
    <row r="262" spans="1:157" ht="15" customHeight="1">
      <c r="A262" s="244">
        <f t="shared" si="37"/>
        <v>-0.05</v>
      </c>
      <c r="B262" s="637">
        <v>10</v>
      </c>
      <c r="C262" s="644">
        <f t="shared" si="38"/>
        <v>0</v>
      </c>
      <c r="D262" s="628">
        <f t="shared" si="23"/>
        <v>0</v>
      </c>
      <c r="E262" s="645">
        <f t="shared" si="64"/>
        <v>0</v>
      </c>
      <c r="F262" s="645">
        <f>([1]APPLICATION!AA30)+A262</f>
        <v>-0.05</v>
      </c>
      <c r="G262" s="645">
        <f t="shared" si="24"/>
        <v>0</v>
      </c>
      <c r="H262" s="445">
        <f t="shared" si="65"/>
        <v>0</v>
      </c>
      <c r="I262" s="646">
        <f t="shared" si="65"/>
        <v>-0.1</v>
      </c>
      <c r="J262" s="646">
        <f t="shared" si="25"/>
        <v>0</v>
      </c>
      <c r="K262" s="645">
        <f>IF([1]APPLICATION!S30="N",-0.2,0)</f>
        <v>0</v>
      </c>
      <c r="L262" s="645">
        <f t="shared" si="66"/>
        <v>0</v>
      </c>
      <c r="N262" s="645">
        <f t="shared" si="67"/>
        <v>0</v>
      </c>
      <c r="O262" s="645">
        <f t="shared" si="26"/>
        <v>0</v>
      </c>
      <c r="P262" s="645">
        <f t="shared" si="26"/>
        <v>0</v>
      </c>
      <c r="Q262" s="645">
        <f t="shared" si="27"/>
        <v>0</v>
      </c>
      <c r="R262" s="646">
        <f t="shared" si="39"/>
        <v>0</v>
      </c>
      <c r="S262" s="646">
        <f t="shared" si="68"/>
        <v>0</v>
      </c>
      <c r="T262" s="399"/>
      <c r="U262" s="662">
        <f t="shared" si="40"/>
        <v>0</v>
      </c>
      <c r="V262" s="637"/>
      <c r="W262" s="476">
        <f t="shared" si="41"/>
        <v>-0.15000000000000002</v>
      </c>
      <c r="Y262" s="475">
        <f t="shared" si="42"/>
        <v>0</v>
      </c>
      <c r="Z262" s="475">
        <f t="shared" si="43"/>
        <v>0</v>
      </c>
      <c r="AA262" s="395">
        <v>0</v>
      </c>
      <c r="AC262" s="729"/>
      <c r="AD262" s="396">
        <f t="shared" si="44"/>
        <v>0</v>
      </c>
      <c r="AE262" s="396"/>
      <c r="AF262" s="396"/>
      <c r="AH262" s="653">
        <f t="shared" si="28"/>
        <v>0</v>
      </c>
      <c r="AI262" s="653">
        <f t="shared" si="28"/>
        <v>0</v>
      </c>
      <c r="AJ262" s="653">
        <f t="shared" si="28"/>
        <v>0</v>
      </c>
      <c r="AK262" s="653">
        <f t="shared" si="28"/>
        <v>0</v>
      </c>
      <c r="AL262" s="653"/>
      <c r="AM262" s="653"/>
      <c r="AN262" s="653"/>
      <c r="AO262" s="653">
        <f t="shared" si="29"/>
        <v>0</v>
      </c>
      <c r="AP262" s="653">
        <f t="shared" si="29"/>
        <v>0</v>
      </c>
      <c r="AQ262" s="653">
        <f t="shared" si="29"/>
        <v>0</v>
      </c>
      <c r="AR262" s="653">
        <f t="shared" si="29"/>
        <v>0</v>
      </c>
      <c r="AS262" s="653">
        <f t="shared" si="29"/>
        <v>0</v>
      </c>
      <c r="AT262" s="653">
        <f t="shared" si="29"/>
        <v>0</v>
      </c>
      <c r="AU262" s="653">
        <f t="shared" si="29"/>
        <v>0</v>
      </c>
      <c r="AV262" s="653">
        <f t="shared" si="29"/>
        <v>0</v>
      </c>
      <c r="AW262" s="653">
        <f t="shared" si="29"/>
        <v>0</v>
      </c>
      <c r="AX262" s="653">
        <f t="shared" si="29"/>
        <v>0</v>
      </c>
      <c r="AY262" s="653">
        <f t="shared" si="29"/>
        <v>0</v>
      </c>
      <c r="AZ262" s="653"/>
      <c r="BA262" s="653"/>
      <c r="BB262" s="653" t="s">
        <v>2</v>
      </c>
      <c r="BC262" s="653"/>
      <c r="BD262" s="653">
        <f t="shared" si="30"/>
        <v>0</v>
      </c>
      <c r="BE262" s="653">
        <f t="shared" si="30"/>
        <v>0</v>
      </c>
      <c r="BF262" s="653">
        <f t="shared" si="30"/>
        <v>0</v>
      </c>
      <c r="BG262" s="653">
        <f t="shared" si="30"/>
        <v>0</v>
      </c>
      <c r="BH262" s="653">
        <f t="shared" si="30"/>
        <v>0</v>
      </c>
      <c r="BI262" s="653">
        <f t="shared" si="30"/>
        <v>0</v>
      </c>
      <c r="BJ262" s="653">
        <f t="shared" si="30"/>
        <v>0</v>
      </c>
      <c r="BK262" s="653">
        <f t="shared" si="30"/>
        <v>0</v>
      </c>
      <c r="BL262" s="653">
        <f t="shared" si="30"/>
        <v>0</v>
      </c>
      <c r="BM262" s="653">
        <f t="shared" si="30"/>
        <v>0</v>
      </c>
      <c r="BN262" s="470"/>
      <c r="BO262" s="470"/>
      <c r="BP262" s="653">
        <f t="shared" si="31"/>
        <v>0</v>
      </c>
      <c r="BQ262" s="653">
        <f t="shared" si="31"/>
        <v>0</v>
      </c>
      <c r="BR262" s="653">
        <f t="shared" si="31"/>
        <v>0</v>
      </c>
      <c r="BS262" s="653">
        <f t="shared" si="31"/>
        <v>0</v>
      </c>
      <c r="BT262" s="653">
        <f t="shared" si="31"/>
        <v>0</v>
      </c>
      <c r="BU262" s="653">
        <f t="shared" si="31"/>
        <v>0</v>
      </c>
      <c r="BV262" s="653">
        <f t="shared" si="31"/>
        <v>0</v>
      </c>
      <c r="BW262" s="653">
        <f t="shared" si="31"/>
        <v>0</v>
      </c>
      <c r="BX262" s="653">
        <f t="shared" si="31"/>
        <v>0</v>
      </c>
      <c r="BY262" s="653">
        <f t="shared" si="31"/>
        <v>0</v>
      </c>
      <c r="BZ262" s="653">
        <f t="shared" si="31"/>
        <v>0</v>
      </c>
      <c r="CA262" s="653">
        <f t="shared" si="31"/>
        <v>0</v>
      </c>
      <c r="CB262" s="653">
        <f t="shared" si="31"/>
        <v>0</v>
      </c>
      <c r="CC262" s="653">
        <f t="shared" si="31"/>
        <v>0</v>
      </c>
      <c r="CD262" s="653">
        <f t="shared" si="31"/>
        <v>0</v>
      </c>
      <c r="CE262" s="653">
        <f t="shared" si="31"/>
        <v>0</v>
      </c>
      <c r="CF262" s="653">
        <f t="shared" si="31"/>
        <v>0</v>
      </c>
      <c r="CG262" s="653">
        <f t="shared" si="31"/>
        <v>0</v>
      </c>
      <c r="CH262" s="653">
        <f t="shared" si="31"/>
        <v>0</v>
      </c>
      <c r="CI262" s="653">
        <f t="shared" si="31"/>
        <v>0</v>
      </c>
      <c r="CJ262" s="653">
        <f t="shared" si="31"/>
        <v>0</v>
      </c>
      <c r="CK262" s="653"/>
      <c r="CL262" s="653"/>
      <c r="CM262" s="470"/>
      <c r="CN262" s="653">
        <f t="shared" si="32"/>
        <v>0</v>
      </c>
      <c r="CO262" s="653">
        <f t="shared" si="32"/>
        <v>0</v>
      </c>
      <c r="CP262" s="653">
        <f t="shared" si="32"/>
        <v>0</v>
      </c>
      <c r="CQ262" s="470"/>
      <c r="CR262" s="470"/>
      <c r="CS262" s="653">
        <f t="shared" si="33"/>
        <v>0</v>
      </c>
      <c r="CT262" s="653">
        <f t="shared" si="33"/>
        <v>0</v>
      </c>
      <c r="CU262" s="653">
        <f t="shared" si="33"/>
        <v>0</v>
      </c>
      <c r="CV262" s="653">
        <f t="shared" si="33"/>
        <v>0</v>
      </c>
      <c r="CW262" s="653">
        <f t="shared" si="33"/>
        <v>0</v>
      </c>
      <c r="CX262" s="653">
        <f t="shared" si="33"/>
        <v>0</v>
      </c>
      <c r="CY262" s="653">
        <f t="shared" si="33"/>
        <v>0</v>
      </c>
      <c r="CZ262" s="470"/>
      <c r="DA262" s="470"/>
      <c r="DB262" s="653">
        <f t="shared" si="34"/>
        <v>0</v>
      </c>
      <c r="DC262" s="653">
        <f t="shared" si="34"/>
        <v>0</v>
      </c>
      <c r="DD262" s="653">
        <f t="shared" si="34"/>
        <v>0</v>
      </c>
      <c r="DE262" s="653">
        <f t="shared" si="34"/>
        <v>0</v>
      </c>
      <c r="DF262" s="653">
        <f t="shared" si="34"/>
        <v>0</v>
      </c>
      <c r="DG262" s="653">
        <f t="shared" si="34"/>
        <v>0</v>
      </c>
      <c r="DH262" s="653">
        <f t="shared" si="34"/>
        <v>0</v>
      </c>
      <c r="DI262" s="653">
        <f t="shared" si="34"/>
        <v>0</v>
      </c>
      <c r="DJ262" s="653">
        <f t="shared" si="34"/>
        <v>0</v>
      </c>
      <c r="DK262" s="653">
        <f t="shared" si="34"/>
        <v>0</v>
      </c>
      <c r="DL262" s="653">
        <f t="shared" si="34"/>
        <v>0</v>
      </c>
      <c r="DM262" s="653">
        <f t="shared" si="34"/>
        <v>0</v>
      </c>
      <c r="DN262" s="653">
        <f t="shared" si="34"/>
        <v>0</v>
      </c>
      <c r="DO262" s="653">
        <f t="shared" si="34"/>
        <v>0</v>
      </c>
      <c r="DP262" s="653">
        <f t="shared" si="34"/>
        <v>0</v>
      </c>
      <c r="DQ262" s="653">
        <f t="shared" si="34"/>
        <v>0</v>
      </c>
      <c r="DR262" s="653">
        <f t="shared" si="34"/>
        <v>0</v>
      </c>
      <c r="DS262" s="653">
        <f t="shared" si="34"/>
        <v>0</v>
      </c>
      <c r="DT262" s="653">
        <f t="shared" si="34"/>
        <v>0</v>
      </c>
      <c r="DU262" s="653"/>
      <c r="DV262" s="653"/>
      <c r="DW262" s="470"/>
      <c r="DX262" s="470"/>
      <c r="DY262" s="474">
        <f t="shared" si="45"/>
        <v>0</v>
      </c>
      <c r="EA262" s="730">
        <f t="shared" si="46"/>
        <v>0</v>
      </c>
      <c r="EG262" s="731">
        <f t="shared" si="35"/>
        <v>9.9999999999999995E-8</v>
      </c>
      <c r="EH262" s="655">
        <f t="shared" si="47"/>
        <v>1500</v>
      </c>
      <c r="EI262" s="655">
        <f t="shared" si="48"/>
        <v>0</v>
      </c>
      <c r="EJ262" s="655">
        <f t="shared" si="49"/>
        <v>0</v>
      </c>
      <c r="EK262" s="655">
        <f t="shared" si="50"/>
        <v>0</v>
      </c>
      <c r="EL262" s="655">
        <f t="shared" si="51"/>
        <v>1500</v>
      </c>
      <c r="EM262" s="655"/>
      <c r="EN262" s="655">
        <f t="shared" si="52"/>
        <v>5000</v>
      </c>
      <c r="EO262" s="655">
        <f t="shared" si="53"/>
        <v>0</v>
      </c>
      <c r="EP262" s="655">
        <f t="shared" si="54"/>
        <v>5000</v>
      </c>
      <c r="EQ262" s="481"/>
      <c r="ER262" s="655">
        <f t="shared" si="55"/>
        <v>1500</v>
      </c>
      <c r="ES262" s="656">
        <f t="shared" si="56"/>
        <v>1500</v>
      </c>
      <c r="ET262" s="656">
        <f t="shared" si="57"/>
        <v>0</v>
      </c>
      <c r="EU262" s="656">
        <f t="shared" si="58"/>
        <v>0</v>
      </c>
      <c r="EV262" s="656">
        <f t="shared" si="59"/>
        <v>1500</v>
      </c>
      <c r="EW262" s="483">
        <f t="shared" si="60"/>
        <v>1500</v>
      </c>
      <c r="EX262" s="398">
        <f t="shared" si="61"/>
        <v>0</v>
      </c>
      <c r="EY262" s="285" t="str">
        <f t="shared" si="36"/>
        <v>X</v>
      </c>
      <c r="EZ262" s="628">
        <f t="shared" si="62"/>
        <v>0</v>
      </c>
      <c r="FA262" s="628">
        <f t="shared" si="63"/>
        <v>0</v>
      </c>
    </row>
    <row r="263" spans="1:157" ht="15" customHeight="1">
      <c r="A263" s="244">
        <f t="shared" si="37"/>
        <v>-0.05</v>
      </c>
      <c r="B263" s="637">
        <v>11</v>
      </c>
      <c r="C263" s="644">
        <f t="shared" si="38"/>
        <v>0</v>
      </c>
      <c r="D263" s="628">
        <f t="shared" si="23"/>
        <v>0</v>
      </c>
      <c r="E263" s="645">
        <f t="shared" si="64"/>
        <v>0</v>
      </c>
      <c r="F263" s="645">
        <f>([1]APPLICATION!AA31)+A263</f>
        <v>-0.05</v>
      </c>
      <c r="G263" s="645">
        <f t="shared" si="24"/>
        <v>0</v>
      </c>
      <c r="H263" s="445">
        <f t="shared" si="65"/>
        <v>0</v>
      </c>
      <c r="I263" s="646">
        <f t="shared" si="65"/>
        <v>-0.1</v>
      </c>
      <c r="J263" s="646">
        <f t="shared" si="25"/>
        <v>0</v>
      </c>
      <c r="K263" s="645">
        <f>IF([1]APPLICATION!S31="N",-0.2,0)</f>
        <v>0</v>
      </c>
      <c r="L263" s="645">
        <f t="shared" si="66"/>
        <v>0</v>
      </c>
      <c r="N263" s="645">
        <f t="shared" si="67"/>
        <v>0</v>
      </c>
      <c r="O263" s="645">
        <f t="shared" si="26"/>
        <v>0</v>
      </c>
      <c r="P263" s="645">
        <f t="shared" si="26"/>
        <v>0</v>
      </c>
      <c r="Q263" s="645">
        <f t="shared" si="27"/>
        <v>0</v>
      </c>
      <c r="R263" s="646">
        <f t="shared" si="39"/>
        <v>0</v>
      </c>
      <c r="S263" s="646">
        <f t="shared" si="68"/>
        <v>0</v>
      </c>
      <c r="T263" s="399"/>
      <c r="U263" s="662">
        <f t="shared" si="40"/>
        <v>0</v>
      </c>
      <c r="V263" s="637"/>
      <c r="W263" s="476">
        <f t="shared" si="41"/>
        <v>-0.15000000000000002</v>
      </c>
      <c r="Y263" s="475">
        <f t="shared" si="42"/>
        <v>0</v>
      </c>
      <c r="Z263" s="475">
        <f t="shared" si="43"/>
        <v>0</v>
      </c>
      <c r="AA263" s="395">
        <v>0</v>
      </c>
      <c r="AC263" s="729"/>
      <c r="AD263" s="396">
        <f t="shared" si="44"/>
        <v>0</v>
      </c>
      <c r="AE263" s="396"/>
      <c r="AF263" s="396"/>
      <c r="AH263" s="653">
        <f t="shared" si="28"/>
        <v>0</v>
      </c>
      <c r="AI263" s="653">
        <f t="shared" si="28"/>
        <v>0</v>
      </c>
      <c r="AJ263" s="653">
        <f t="shared" si="28"/>
        <v>0</v>
      </c>
      <c r="AK263" s="653">
        <f t="shared" si="28"/>
        <v>0</v>
      </c>
      <c r="AL263" s="653"/>
      <c r="AM263" s="653"/>
      <c r="AN263" s="653"/>
      <c r="AO263" s="653">
        <f t="shared" si="29"/>
        <v>0</v>
      </c>
      <c r="AP263" s="653">
        <f t="shared" si="29"/>
        <v>0</v>
      </c>
      <c r="AQ263" s="653">
        <f t="shared" si="29"/>
        <v>0</v>
      </c>
      <c r="AR263" s="653">
        <f t="shared" si="29"/>
        <v>0</v>
      </c>
      <c r="AS263" s="653">
        <f t="shared" si="29"/>
        <v>0</v>
      </c>
      <c r="AT263" s="653">
        <f t="shared" si="29"/>
        <v>0</v>
      </c>
      <c r="AU263" s="653">
        <f t="shared" si="29"/>
        <v>0</v>
      </c>
      <c r="AV263" s="653">
        <f t="shared" si="29"/>
        <v>0</v>
      </c>
      <c r="AW263" s="653">
        <f t="shared" si="29"/>
        <v>0</v>
      </c>
      <c r="AX263" s="653">
        <f t="shared" si="29"/>
        <v>0</v>
      </c>
      <c r="AY263" s="653">
        <f t="shared" si="29"/>
        <v>0</v>
      </c>
      <c r="AZ263" s="653"/>
      <c r="BA263" s="653"/>
      <c r="BB263" s="653" t="s">
        <v>2</v>
      </c>
      <c r="BC263" s="653"/>
      <c r="BD263" s="653">
        <f t="shared" si="30"/>
        <v>0</v>
      </c>
      <c r="BE263" s="653">
        <f t="shared" si="30"/>
        <v>0</v>
      </c>
      <c r="BF263" s="653">
        <f t="shared" si="30"/>
        <v>0</v>
      </c>
      <c r="BG263" s="653">
        <f t="shared" si="30"/>
        <v>0</v>
      </c>
      <c r="BH263" s="653">
        <f t="shared" si="30"/>
        <v>0</v>
      </c>
      <c r="BI263" s="653">
        <f t="shared" si="30"/>
        <v>0</v>
      </c>
      <c r="BJ263" s="653">
        <f t="shared" si="30"/>
        <v>0</v>
      </c>
      <c r="BK263" s="653">
        <f t="shared" si="30"/>
        <v>0</v>
      </c>
      <c r="BL263" s="653">
        <f t="shared" si="30"/>
        <v>0</v>
      </c>
      <c r="BM263" s="653">
        <f t="shared" si="30"/>
        <v>0</v>
      </c>
      <c r="BN263" s="470"/>
      <c r="BO263" s="470"/>
      <c r="BP263" s="653">
        <f t="shared" si="31"/>
        <v>0</v>
      </c>
      <c r="BQ263" s="653">
        <f t="shared" si="31"/>
        <v>0</v>
      </c>
      <c r="BR263" s="653">
        <f t="shared" si="31"/>
        <v>0</v>
      </c>
      <c r="BS263" s="653">
        <f t="shared" si="31"/>
        <v>0</v>
      </c>
      <c r="BT263" s="653">
        <f t="shared" si="31"/>
        <v>0</v>
      </c>
      <c r="BU263" s="653">
        <f t="shared" si="31"/>
        <v>0</v>
      </c>
      <c r="BV263" s="653">
        <f t="shared" si="31"/>
        <v>0</v>
      </c>
      <c r="BW263" s="653">
        <f t="shared" si="31"/>
        <v>0</v>
      </c>
      <c r="BX263" s="653">
        <f t="shared" si="31"/>
        <v>0</v>
      </c>
      <c r="BY263" s="653">
        <f t="shared" si="31"/>
        <v>0</v>
      </c>
      <c r="BZ263" s="653">
        <f t="shared" si="31"/>
        <v>0</v>
      </c>
      <c r="CA263" s="653">
        <f t="shared" si="31"/>
        <v>0</v>
      </c>
      <c r="CB263" s="653">
        <f t="shared" si="31"/>
        <v>0</v>
      </c>
      <c r="CC263" s="653">
        <f t="shared" si="31"/>
        <v>0</v>
      </c>
      <c r="CD263" s="653">
        <f t="shared" si="31"/>
        <v>0</v>
      </c>
      <c r="CE263" s="653">
        <f t="shared" si="31"/>
        <v>0</v>
      </c>
      <c r="CF263" s="653">
        <f t="shared" si="31"/>
        <v>0</v>
      </c>
      <c r="CG263" s="653">
        <f t="shared" si="31"/>
        <v>0</v>
      </c>
      <c r="CH263" s="653">
        <f t="shared" si="31"/>
        <v>0</v>
      </c>
      <c r="CI263" s="653">
        <f t="shared" si="31"/>
        <v>0</v>
      </c>
      <c r="CJ263" s="653">
        <f t="shared" si="31"/>
        <v>0</v>
      </c>
      <c r="CK263" s="653"/>
      <c r="CL263" s="653"/>
      <c r="CM263" s="470"/>
      <c r="CN263" s="653">
        <f t="shared" si="32"/>
        <v>0</v>
      </c>
      <c r="CO263" s="653">
        <f t="shared" si="32"/>
        <v>0</v>
      </c>
      <c r="CP263" s="653">
        <f t="shared" si="32"/>
        <v>0</v>
      </c>
      <c r="CQ263" s="470"/>
      <c r="CR263" s="470"/>
      <c r="CS263" s="653">
        <f t="shared" si="33"/>
        <v>0</v>
      </c>
      <c r="CT263" s="653">
        <f t="shared" si="33"/>
        <v>0</v>
      </c>
      <c r="CU263" s="653">
        <f t="shared" si="33"/>
        <v>0</v>
      </c>
      <c r="CV263" s="653">
        <f t="shared" si="33"/>
        <v>0</v>
      </c>
      <c r="CW263" s="653">
        <f t="shared" si="33"/>
        <v>0</v>
      </c>
      <c r="CX263" s="653">
        <f t="shared" si="33"/>
        <v>0</v>
      </c>
      <c r="CY263" s="653">
        <f t="shared" si="33"/>
        <v>0</v>
      </c>
      <c r="CZ263" s="470"/>
      <c r="DA263" s="470"/>
      <c r="DB263" s="653">
        <f t="shared" si="34"/>
        <v>0</v>
      </c>
      <c r="DC263" s="653">
        <f t="shared" si="34"/>
        <v>0</v>
      </c>
      <c r="DD263" s="653">
        <f t="shared" si="34"/>
        <v>0</v>
      </c>
      <c r="DE263" s="653">
        <f t="shared" si="34"/>
        <v>0</v>
      </c>
      <c r="DF263" s="653">
        <f t="shared" si="34"/>
        <v>0</v>
      </c>
      <c r="DG263" s="653">
        <f t="shared" si="34"/>
        <v>0</v>
      </c>
      <c r="DH263" s="653">
        <f t="shared" si="34"/>
        <v>0</v>
      </c>
      <c r="DI263" s="653">
        <f t="shared" si="34"/>
        <v>0</v>
      </c>
      <c r="DJ263" s="653">
        <f t="shared" si="34"/>
        <v>0</v>
      </c>
      <c r="DK263" s="653">
        <f t="shared" si="34"/>
        <v>0</v>
      </c>
      <c r="DL263" s="653">
        <f t="shared" si="34"/>
        <v>0</v>
      </c>
      <c r="DM263" s="653">
        <f t="shared" si="34"/>
        <v>0</v>
      </c>
      <c r="DN263" s="653">
        <f t="shared" si="34"/>
        <v>0</v>
      </c>
      <c r="DO263" s="653">
        <f t="shared" si="34"/>
        <v>0</v>
      </c>
      <c r="DP263" s="653">
        <f t="shared" si="34"/>
        <v>0</v>
      </c>
      <c r="DQ263" s="653">
        <f t="shared" si="34"/>
        <v>0</v>
      </c>
      <c r="DR263" s="653">
        <f t="shared" si="34"/>
        <v>0</v>
      </c>
      <c r="DS263" s="653">
        <f t="shared" si="34"/>
        <v>0</v>
      </c>
      <c r="DT263" s="653">
        <f t="shared" si="34"/>
        <v>0</v>
      </c>
      <c r="DU263" s="653"/>
      <c r="DV263" s="653"/>
      <c r="DW263" s="470"/>
      <c r="DX263" s="470"/>
      <c r="DY263" s="474">
        <f t="shared" si="45"/>
        <v>0</v>
      </c>
      <c r="EA263" s="730">
        <f t="shared" si="46"/>
        <v>0</v>
      </c>
      <c r="EG263" s="731">
        <f t="shared" si="35"/>
        <v>9.9999999999999995E-8</v>
      </c>
      <c r="EH263" s="655">
        <f t="shared" si="47"/>
        <v>1500</v>
      </c>
      <c r="EI263" s="655">
        <f t="shared" si="48"/>
        <v>0</v>
      </c>
      <c r="EJ263" s="655">
        <f t="shared" si="49"/>
        <v>0</v>
      </c>
      <c r="EK263" s="655">
        <f t="shared" si="50"/>
        <v>0</v>
      </c>
      <c r="EL263" s="655">
        <f t="shared" si="51"/>
        <v>1500</v>
      </c>
      <c r="EM263" s="655"/>
      <c r="EN263" s="655">
        <f t="shared" si="52"/>
        <v>5000</v>
      </c>
      <c r="EO263" s="655">
        <f t="shared" si="53"/>
        <v>0</v>
      </c>
      <c r="EP263" s="655">
        <f t="shared" si="54"/>
        <v>5000</v>
      </c>
      <c r="EQ263" s="481"/>
      <c r="ER263" s="655">
        <f t="shared" si="55"/>
        <v>1500</v>
      </c>
      <c r="ES263" s="656">
        <f t="shared" si="56"/>
        <v>1500</v>
      </c>
      <c r="ET263" s="656">
        <f t="shared" si="57"/>
        <v>0</v>
      </c>
      <c r="EU263" s="656">
        <f t="shared" si="58"/>
        <v>0</v>
      </c>
      <c r="EV263" s="656">
        <f t="shared" si="59"/>
        <v>1500</v>
      </c>
      <c r="EW263" s="483">
        <f t="shared" si="60"/>
        <v>1500</v>
      </c>
      <c r="EX263" s="398">
        <f t="shared" si="61"/>
        <v>0</v>
      </c>
      <c r="EY263" s="285" t="str">
        <f t="shared" si="36"/>
        <v>X</v>
      </c>
      <c r="EZ263" s="628">
        <f t="shared" si="62"/>
        <v>0</v>
      </c>
      <c r="FA263" s="628">
        <f t="shared" si="63"/>
        <v>0</v>
      </c>
    </row>
    <row r="264" spans="1:157" ht="15" customHeight="1">
      <c r="A264" s="244">
        <f t="shared" si="37"/>
        <v>-0.05</v>
      </c>
      <c r="B264" s="637">
        <v>12</v>
      </c>
      <c r="C264" s="644">
        <f t="shared" si="38"/>
        <v>0</v>
      </c>
      <c r="D264" s="628">
        <f t="shared" si="23"/>
        <v>0</v>
      </c>
      <c r="E264" s="645">
        <f t="shared" si="64"/>
        <v>0</v>
      </c>
      <c r="F264" s="645">
        <f>([1]APPLICATION!AA32)+A264</f>
        <v>-0.05</v>
      </c>
      <c r="G264" s="645">
        <f t="shared" si="24"/>
        <v>0</v>
      </c>
      <c r="H264" s="445">
        <f t="shared" si="65"/>
        <v>0</v>
      </c>
      <c r="I264" s="646">
        <f t="shared" si="65"/>
        <v>-0.1</v>
      </c>
      <c r="J264" s="646">
        <f t="shared" si="25"/>
        <v>0</v>
      </c>
      <c r="K264" s="645">
        <f>IF([1]APPLICATION!S32="N",-0.2,0)</f>
        <v>0</v>
      </c>
      <c r="L264" s="645">
        <f t="shared" si="66"/>
        <v>0</v>
      </c>
      <c r="N264" s="645">
        <f t="shared" si="67"/>
        <v>0</v>
      </c>
      <c r="O264" s="645">
        <f t="shared" si="26"/>
        <v>0</v>
      </c>
      <c r="P264" s="645">
        <f t="shared" si="26"/>
        <v>0</v>
      </c>
      <c r="Q264" s="645">
        <f t="shared" si="27"/>
        <v>0</v>
      </c>
      <c r="R264" s="646">
        <f t="shared" si="39"/>
        <v>0</v>
      </c>
      <c r="S264" s="646">
        <f t="shared" si="68"/>
        <v>0</v>
      </c>
      <c r="T264" s="399"/>
      <c r="U264" s="662">
        <f t="shared" si="40"/>
        <v>0</v>
      </c>
      <c r="V264" s="637"/>
      <c r="W264" s="476">
        <f t="shared" si="41"/>
        <v>-0.15000000000000002</v>
      </c>
      <c r="Y264" s="475">
        <f t="shared" si="42"/>
        <v>0</v>
      </c>
      <c r="Z264" s="475">
        <f t="shared" si="43"/>
        <v>0</v>
      </c>
      <c r="AA264" s="395">
        <v>0</v>
      </c>
      <c r="AC264" s="729"/>
      <c r="AD264" s="396">
        <f t="shared" si="44"/>
        <v>0</v>
      </c>
      <c r="AE264" s="396"/>
      <c r="AF264" s="396"/>
      <c r="AH264" s="653">
        <f t="shared" si="28"/>
        <v>0</v>
      </c>
      <c r="AI264" s="653">
        <f t="shared" si="28"/>
        <v>0</v>
      </c>
      <c r="AJ264" s="653">
        <f t="shared" si="28"/>
        <v>0</v>
      </c>
      <c r="AK264" s="653">
        <f t="shared" si="28"/>
        <v>0</v>
      </c>
      <c r="AL264" s="653"/>
      <c r="AM264" s="653"/>
      <c r="AN264" s="653"/>
      <c r="AO264" s="653">
        <f t="shared" si="29"/>
        <v>0</v>
      </c>
      <c r="AP264" s="653">
        <f t="shared" si="29"/>
        <v>0</v>
      </c>
      <c r="AQ264" s="653">
        <f t="shared" si="29"/>
        <v>0</v>
      </c>
      <c r="AR264" s="653">
        <f t="shared" si="29"/>
        <v>0</v>
      </c>
      <c r="AS264" s="653">
        <f t="shared" si="29"/>
        <v>0</v>
      </c>
      <c r="AT264" s="653">
        <f t="shared" si="29"/>
        <v>0</v>
      </c>
      <c r="AU264" s="653">
        <f t="shared" si="29"/>
        <v>0</v>
      </c>
      <c r="AV264" s="653">
        <f t="shared" si="29"/>
        <v>0</v>
      </c>
      <c r="AW264" s="653">
        <f t="shared" si="29"/>
        <v>0</v>
      </c>
      <c r="AX264" s="653">
        <f t="shared" si="29"/>
        <v>0</v>
      </c>
      <c r="AY264" s="653">
        <f t="shared" si="29"/>
        <v>0</v>
      </c>
      <c r="AZ264" s="653"/>
      <c r="BA264" s="653"/>
      <c r="BB264" s="653" t="s">
        <v>2</v>
      </c>
      <c r="BC264" s="653"/>
      <c r="BD264" s="653">
        <f t="shared" si="30"/>
        <v>0</v>
      </c>
      <c r="BE264" s="653">
        <f t="shared" si="30"/>
        <v>0</v>
      </c>
      <c r="BF264" s="653">
        <f t="shared" si="30"/>
        <v>0</v>
      </c>
      <c r="BG264" s="653">
        <f t="shared" si="30"/>
        <v>0</v>
      </c>
      <c r="BH264" s="653">
        <f t="shared" si="30"/>
        <v>0</v>
      </c>
      <c r="BI264" s="653">
        <f t="shared" si="30"/>
        <v>0</v>
      </c>
      <c r="BJ264" s="653">
        <f t="shared" si="30"/>
        <v>0</v>
      </c>
      <c r="BK264" s="653">
        <f t="shared" si="30"/>
        <v>0</v>
      </c>
      <c r="BL264" s="653">
        <f t="shared" si="30"/>
        <v>0</v>
      </c>
      <c r="BM264" s="653">
        <f t="shared" si="30"/>
        <v>0</v>
      </c>
      <c r="BN264" s="470"/>
      <c r="BO264" s="470"/>
      <c r="BP264" s="653">
        <f t="shared" si="31"/>
        <v>0</v>
      </c>
      <c r="BQ264" s="653">
        <f t="shared" si="31"/>
        <v>0</v>
      </c>
      <c r="BR264" s="653">
        <f t="shared" si="31"/>
        <v>0</v>
      </c>
      <c r="BS264" s="653">
        <f t="shared" si="31"/>
        <v>0</v>
      </c>
      <c r="BT264" s="653">
        <f t="shared" si="31"/>
        <v>0</v>
      </c>
      <c r="BU264" s="653">
        <f t="shared" si="31"/>
        <v>0</v>
      </c>
      <c r="BV264" s="653">
        <f t="shared" si="31"/>
        <v>0</v>
      </c>
      <c r="BW264" s="653">
        <f t="shared" si="31"/>
        <v>0</v>
      </c>
      <c r="BX264" s="653">
        <f t="shared" si="31"/>
        <v>0</v>
      </c>
      <c r="BY264" s="653">
        <f t="shared" si="31"/>
        <v>0</v>
      </c>
      <c r="BZ264" s="653">
        <f t="shared" si="31"/>
        <v>0</v>
      </c>
      <c r="CA264" s="653">
        <f t="shared" si="31"/>
        <v>0</v>
      </c>
      <c r="CB264" s="653">
        <f t="shared" si="31"/>
        <v>0</v>
      </c>
      <c r="CC264" s="653">
        <f t="shared" si="31"/>
        <v>0</v>
      </c>
      <c r="CD264" s="653">
        <f t="shared" si="31"/>
        <v>0</v>
      </c>
      <c r="CE264" s="653">
        <f t="shared" si="31"/>
        <v>0</v>
      </c>
      <c r="CF264" s="653">
        <f t="shared" si="31"/>
        <v>0</v>
      </c>
      <c r="CG264" s="653">
        <f t="shared" si="31"/>
        <v>0</v>
      </c>
      <c r="CH264" s="653">
        <f t="shared" si="31"/>
        <v>0</v>
      </c>
      <c r="CI264" s="653">
        <f t="shared" si="31"/>
        <v>0</v>
      </c>
      <c r="CJ264" s="653">
        <f t="shared" si="31"/>
        <v>0</v>
      </c>
      <c r="CK264" s="653"/>
      <c r="CL264" s="653"/>
      <c r="CM264" s="470"/>
      <c r="CN264" s="653">
        <f t="shared" si="32"/>
        <v>0</v>
      </c>
      <c r="CO264" s="653">
        <f t="shared" si="32"/>
        <v>0</v>
      </c>
      <c r="CP264" s="653">
        <f t="shared" si="32"/>
        <v>0</v>
      </c>
      <c r="CQ264" s="470"/>
      <c r="CR264" s="470"/>
      <c r="CS264" s="653">
        <f t="shared" si="33"/>
        <v>0</v>
      </c>
      <c r="CT264" s="653">
        <f t="shared" si="33"/>
        <v>0</v>
      </c>
      <c r="CU264" s="653">
        <f t="shared" si="33"/>
        <v>0</v>
      </c>
      <c r="CV264" s="653">
        <f t="shared" si="33"/>
        <v>0</v>
      </c>
      <c r="CW264" s="653">
        <f t="shared" si="33"/>
        <v>0</v>
      </c>
      <c r="CX264" s="653">
        <f t="shared" si="33"/>
        <v>0</v>
      </c>
      <c r="CY264" s="653">
        <f t="shared" si="33"/>
        <v>0</v>
      </c>
      <c r="CZ264" s="470"/>
      <c r="DA264" s="470"/>
      <c r="DB264" s="653">
        <f t="shared" si="34"/>
        <v>0</v>
      </c>
      <c r="DC264" s="653">
        <f t="shared" si="34"/>
        <v>0</v>
      </c>
      <c r="DD264" s="653">
        <f t="shared" si="34"/>
        <v>0</v>
      </c>
      <c r="DE264" s="653">
        <f t="shared" si="34"/>
        <v>0</v>
      </c>
      <c r="DF264" s="653">
        <f t="shared" si="34"/>
        <v>0</v>
      </c>
      <c r="DG264" s="653">
        <f t="shared" si="34"/>
        <v>0</v>
      </c>
      <c r="DH264" s="653">
        <f t="shared" si="34"/>
        <v>0</v>
      </c>
      <c r="DI264" s="653">
        <f t="shared" si="34"/>
        <v>0</v>
      </c>
      <c r="DJ264" s="653">
        <f t="shared" si="34"/>
        <v>0</v>
      </c>
      <c r="DK264" s="653">
        <f t="shared" si="34"/>
        <v>0</v>
      </c>
      <c r="DL264" s="653">
        <f t="shared" si="34"/>
        <v>0</v>
      </c>
      <c r="DM264" s="653">
        <f t="shared" si="34"/>
        <v>0</v>
      </c>
      <c r="DN264" s="653">
        <f t="shared" si="34"/>
        <v>0</v>
      </c>
      <c r="DO264" s="653">
        <f t="shared" si="34"/>
        <v>0</v>
      </c>
      <c r="DP264" s="653">
        <f t="shared" si="34"/>
        <v>0</v>
      </c>
      <c r="DQ264" s="653">
        <f t="shared" si="34"/>
        <v>0</v>
      </c>
      <c r="DR264" s="653">
        <f t="shared" si="34"/>
        <v>0</v>
      </c>
      <c r="DS264" s="653">
        <f t="shared" si="34"/>
        <v>0</v>
      </c>
      <c r="DT264" s="653">
        <f t="shared" si="34"/>
        <v>0</v>
      </c>
      <c r="DU264" s="653"/>
      <c r="DV264" s="653"/>
      <c r="DW264" s="470"/>
      <c r="DX264" s="470"/>
      <c r="DY264" s="474">
        <f t="shared" si="45"/>
        <v>0</v>
      </c>
      <c r="EA264" s="730">
        <f t="shared" si="46"/>
        <v>0</v>
      </c>
      <c r="EG264" s="731">
        <f t="shared" si="35"/>
        <v>9.9999999999999995E-8</v>
      </c>
      <c r="EH264" s="655">
        <f t="shared" si="47"/>
        <v>1500</v>
      </c>
      <c r="EI264" s="655">
        <f t="shared" si="48"/>
        <v>0</v>
      </c>
      <c r="EJ264" s="655">
        <f t="shared" si="49"/>
        <v>0</v>
      </c>
      <c r="EK264" s="655">
        <f t="shared" si="50"/>
        <v>0</v>
      </c>
      <c r="EL264" s="655">
        <f t="shared" si="51"/>
        <v>1500</v>
      </c>
      <c r="EM264" s="655"/>
      <c r="EN264" s="655">
        <f t="shared" si="52"/>
        <v>5000</v>
      </c>
      <c r="EO264" s="655">
        <f t="shared" si="53"/>
        <v>0</v>
      </c>
      <c r="EP264" s="655">
        <f t="shared" si="54"/>
        <v>5000</v>
      </c>
      <c r="EQ264" s="481"/>
      <c r="ER264" s="655">
        <f t="shared" si="55"/>
        <v>1500</v>
      </c>
      <c r="ES264" s="656">
        <f t="shared" si="56"/>
        <v>1500</v>
      </c>
      <c r="ET264" s="656">
        <f t="shared" si="57"/>
        <v>0</v>
      </c>
      <c r="EU264" s="656">
        <f t="shared" si="58"/>
        <v>0</v>
      </c>
      <c r="EV264" s="656">
        <f t="shared" si="59"/>
        <v>1500</v>
      </c>
      <c r="EW264" s="483">
        <f t="shared" si="60"/>
        <v>1500</v>
      </c>
      <c r="EX264" s="398">
        <f t="shared" si="61"/>
        <v>0</v>
      </c>
      <c r="EY264" s="285" t="str">
        <f t="shared" si="36"/>
        <v>X</v>
      </c>
      <c r="EZ264" s="628">
        <f t="shared" si="62"/>
        <v>0</v>
      </c>
      <c r="FA264" s="628">
        <f t="shared" si="63"/>
        <v>0</v>
      </c>
    </row>
    <row r="265" spans="1:157" ht="15" customHeight="1">
      <c r="A265" s="244">
        <f t="shared" si="37"/>
        <v>-0.05</v>
      </c>
      <c r="B265" s="637">
        <v>13</v>
      </c>
      <c r="C265" s="644">
        <f t="shared" si="38"/>
        <v>0</v>
      </c>
      <c r="D265" s="628">
        <f t="shared" si="23"/>
        <v>0</v>
      </c>
      <c r="E265" s="645">
        <f t="shared" si="64"/>
        <v>0</v>
      </c>
      <c r="F265" s="645">
        <f>([1]APPLICATION!AA33)+A265</f>
        <v>-0.05</v>
      </c>
      <c r="G265" s="645">
        <f t="shared" si="24"/>
        <v>0</v>
      </c>
      <c r="H265" s="445">
        <f t="shared" si="65"/>
        <v>0</v>
      </c>
      <c r="I265" s="646">
        <f t="shared" si="65"/>
        <v>-0.1</v>
      </c>
      <c r="J265" s="646">
        <f t="shared" si="25"/>
        <v>0</v>
      </c>
      <c r="K265" s="645">
        <f>IF([1]APPLICATION!S33="N",-0.2,0)</f>
        <v>0</v>
      </c>
      <c r="L265" s="645">
        <f t="shared" si="66"/>
        <v>0</v>
      </c>
      <c r="N265" s="645">
        <f t="shared" si="67"/>
        <v>0</v>
      </c>
      <c r="O265" s="645">
        <f t="shared" si="26"/>
        <v>0</v>
      </c>
      <c r="P265" s="645">
        <f t="shared" si="26"/>
        <v>0</v>
      </c>
      <c r="Q265" s="645">
        <f t="shared" si="27"/>
        <v>0</v>
      </c>
      <c r="R265" s="646">
        <f t="shared" si="39"/>
        <v>0</v>
      </c>
      <c r="S265" s="646">
        <f t="shared" si="68"/>
        <v>0</v>
      </c>
      <c r="T265" s="399"/>
      <c r="U265" s="662">
        <f t="shared" si="40"/>
        <v>0</v>
      </c>
      <c r="V265" s="637"/>
      <c r="W265" s="476">
        <f t="shared" si="41"/>
        <v>-0.15000000000000002</v>
      </c>
      <c r="Y265" s="475">
        <f t="shared" si="42"/>
        <v>0</v>
      </c>
      <c r="Z265" s="475">
        <f t="shared" si="43"/>
        <v>0</v>
      </c>
      <c r="AA265" s="395">
        <v>0</v>
      </c>
      <c r="AC265" s="729"/>
      <c r="AD265" s="396">
        <f t="shared" si="44"/>
        <v>0</v>
      </c>
      <c r="AE265" s="396"/>
      <c r="AF265" s="396"/>
      <c r="AH265" s="653">
        <f t="shared" si="28"/>
        <v>0</v>
      </c>
      <c r="AI265" s="653">
        <f t="shared" si="28"/>
        <v>0</v>
      </c>
      <c r="AJ265" s="653">
        <f t="shared" si="28"/>
        <v>0</v>
      </c>
      <c r="AK265" s="653">
        <f t="shared" si="28"/>
        <v>0</v>
      </c>
      <c r="AL265" s="653"/>
      <c r="AM265" s="653"/>
      <c r="AN265" s="653"/>
      <c r="AO265" s="653">
        <f t="shared" si="29"/>
        <v>0</v>
      </c>
      <c r="AP265" s="653">
        <f t="shared" si="29"/>
        <v>0</v>
      </c>
      <c r="AQ265" s="653">
        <f t="shared" si="29"/>
        <v>0</v>
      </c>
      <c r="AR265" s="653">
        <f t="shared" si="29"/>
        <v>0</v>
      </c>
      <c r="AS265" s="653">
        <f t="shared" si="29"/>
        <v>0</v>
      </c>
      <c r="AT265" s="653">
        <f t="shared" si="29"/>
        <v>0</v>
      </c>
      <c r="AU265" s="653">
        <f t="shared" si="29"/>
        <v>0</v>
      </c>
      <c r="AV265" s="653">
        <f t="shared" si="29"/>
        <v>0</v>
      </c>
      <c r="AW265" s="653">
        <f t="shared" si="29"/>
        <v>0</v>
      </c>
      <c r="AX265" s="653">
        <f t="shared" si="29"/>
        <v>0</v>
      </c>
      <c r="AY265" s="653">
        <f t="shared" si="29"/>
        <v>0</v>
      </c>
      <c r="AZ265" s="653"/>
      <c r="BA265" s="653"/>
      <c r="BB265" s="653" t="s">
        <v>2</v>
      </c>
      <c r="BC265" s="653"/>
      <c r="BD265" s="653">
        <f t="shared" si="30"/>
        <v>0</v>
      </c>
      <c r="BE265" s="653">
        <f t="shared" si="30"/>
        <v>0</v>
      </c>
      <c r="BF265" s="653">
        <f t="shared" si="30"/>
        <v>0</v>
      </c>
      <c r="BG265" s="653">
        <f t="shared" si="30"/>
        <v>0</v>
      </c>
      <c r="BH265" s="653">
        <f t="shared" si="30"/>
        <v>0</v>
      </c>
      <c r="BI265" s="653">
        <f t="shared" si="30"/>
        <v>0</v>
      </c>
      <c r="BJ265" s="653">
        <f t="shared" si="30"/>
        <v>0</v>
      </c>
      <c r="BK265" s="653">
        <f t="shared" si="30"/>
        <v>0</v>
      </c>
      <c r="BL265" s="653">
        <f t="shared" si="30"/>
        <v>0</v>
      </c>
      <c r="BM265" s="653">
        <f t="shared" si="30"/>
        <v>0</v>
      </c>
      <c r="BN265" s="470"/>
      <c r="BO265" s="470"/>
      <c r="BP265" s="653">
        <f t="shared" si="31"/>
        <v>0</v>
      </c>
      <c r="BQ265" s="653">
        <f t="shared" si="31"/>
        <v>0</v>
      </c>
      <c r="BR265" s="653">
        <f t="shared" si="31"/>
        <v>0</v>
      </c>
      <c r="BS265" s="653">
        <f t="shared" ref="BS265:CJ277" si="69">(IF($G36=BS$250,$L$238,0))</f>
        <v>0</v>
      </c>
      <c r="BT265" s="653">
        <f t="shared" si="69"/>
        <v>0</v>
      </c>
      <c r="BU265" s="653">
        <f t="shared" si="69"/>
        <v>0</v>
      </c>
      <c r="BV265" s="653">
        <f t="shared" si="69"/>
        <v>0</v>
      </c>
      <c r="BW265" s="653">
        <f t="shared" si="69"/>
        <v>0</v>
      </c>
      <c r="BX265" s="653">
        <f t="shared" si="69"/>
        <v>0</v>
      </c>
      <c r="BY265" s="653">
        <f t="shared" si="69"/>
        <v>0</v>
      </c>
      <c r="BZ265" s="653">
        <f t="shared" si="69"/>
        <v>0</v>
      </c>
      <c r="CA265" s="653">
        <f t="shared" si="69"/>
        <v>0</v>
      </c>
      <c r="CB265" s="653">
        <f t="shared" si="69"/>
        <v>0</v>
      </c>
      <c r="CC265" s="653">
        <f t="shared" si="69"/>
        <v>0</v>
      </c>
      <c r="CD265" s="653">
        <f t="shared" si="69"/>
        <v>0</v>
      </c>
      <c r="CE265" s="653">
        <f t="shared" si="69"/>
        <v>0</v>
      </c>
      <c r="CF265" s="653">
        <f t="shared" si="69"/>
        <v>0</v>
      </c>
      <c r="CG265" s="653">
        <f t="shared" si="69"/>
        <v>0</v>
      </c>
      <c r="CH265" s="653">
        <f t="shared" si="69"/>
        <v>0</v>
      </c>
      <c r="CI265" s="653">
        <f t="shared" si="69"/>
        <v>0</v>
      </c>
      <c r="CJ265" s="653">
        <f t="shared" si="69"/>
        <v>0</v>
      </c>
      <c r="CK265" s="653"/>
      <c r="CL265" s="653"/>
      <c r="CM265" s="470"/>
      <c r="CN265" s="653">
        <f t="shared" si="32"/>
        <v>0</v>
      </c>
      <c r="CO265" s="653">
        <f t="shared" si="32"/>
        <v>0</v>
      </c>
      <c r="CP265" s="653">
        <f t="shared" si="32"/>
        <v>0</v>
      </c>
      <c r="CQ265" s="470"/>
      <c r="CR265" s="470"/>
      <c r="CS265" s="653">
        <f t="shared" si="33"/>
        <v>0</v>
      </c>
      <c r="CT265" s="653">
        <f t="shared" si="33"/>
        <v>0</v>
      </c>
      <c r="CU265" s="653">
        <f t="shared" si="33"/>
        <v>0</v>
      </c>
      <c r="CV265" s="653">
        <f t="shared" si="33"/>
        <v>0</v>
      </c>
      <c r="CW265" s="653">
        <f t="shared" si="33"/>
        <v>0</v>
      </c>
      <c r="CX265" s="653">
        <f t="shared" si="33"/>
        <v>0</v>
      </c>
      <c r="CY265" s="653">
        <f t="shared" si="33"/>
        <v>0</v>
      </c>
      <c r="CZ265" s="470"/>
      <c r="DA265" s="470"/>
      <c r="DB265" s="653">
        <f t="shared" si="34"/>
        <v>0</v>
      </c>
      <c r="DC265" s="653">
        <f t="shared" si="34"/>
        <v>0</v>
      </c>
      <c r="DD265" s="653">
        <f t="shared" si="34"/>
        <v>0</v>
      </c>
      <c r="DE265" s="653">
        <f t="shared" si="34"/>
        <v>0</v>
      </c>
      <c r="DF265" s="653">
        <f t="shared" si="34"/>
        <v>0</v>
      </c>
      <c r="DG265" s="653">
        <f t="shared" si="34"/>
        <v>0</v>
      </c>
      <c r="DH265" s="653">
        <f t="shared" si="34"/>
        <v>0</v>
      </c>
      <c r="DI265" s="653">
        <f t="shared" si="34"/>
        <v>0</v>
      </c>
      <c r="DJ265" s="653">
        <f t="shared" si="34"/>
        <v>0</v>
      </c>
      <c r="DK265" s="653">
        <f t="shared" si="34"/>
        <v>0</v>
      </c>
      <c r="DL265" s="653">
        <f t="shared" si="34"/>
        <v>0</v>
      </c>
      <c r="DM265" s="653">
        <f t="shared" si="34"/>
        <v>0</v>
      </c>
      <c r="DN265" s="653">
        <f t="shared" si="34"/>
        <v>0</v>
      </c>
      <c r="DO265" s="653">
        <f t="shared" si="34"/>
        <v>0</v>
      </c>
      <c r="DP265" s="653">
        <f t="shared" si="34"/>
        <v>0</v>
      </c>
      <c r="DQ265" s="653">
        <f t="shared" si="34"/>
        <v>0</v>
      </c>
      <c r="DR265" s="653">
        <f t="shared" si="34"/>
        <v>0</v>
      </c>
      <c r="DS265" s="653">
        <f t="shared" si="34"/>
        <v>0</v>
      </c>
      <c r="DT265" s="653">
        <f t="shared" si="34"/>
        <v>0</v>
      </c>
      <c r="DU265" s="653"/>
      <c r="DV265" s="653"/>
      <c r="DW265" s="470"/>
      <c r="DX265" s="470"/>
      <c r="DY265" s="474">
        <f t="shared" si="45"/>
        <v>0</v>
      </c>
      <c r="EA265" s="730">
        <f t="shared" si="46"/>
        <v>0</v>
      </c>
      <c r="EG265" s="731">
        <f t="shared" si="35"/>
        <v>9.9999999999999995E-8</v>
      </c>
      <c r="EH265" s="655">
        <f t="shared" si="47"/>
        <v>1500</v>
      </c>
      <c r="EI265" s="655">
        <f t="shared" si="48"/>
        <v>0</v>
      </c>
      <c r="EJ265" s="655">
        <f t="shared" si="49"/>
        <v>0</v>
      </c>
      <c r="EK265" s="655">
        <f t="shared" si="50"/>
        <v>0</v>
      </c>
      <c r="EL265" s="655">
        <f t="shared" si="51"/>
        <v>1500</v>
      </c>
      <c r="EM265" s="655"/>
      <c r="EN265" s="655">
        <f t="shared" si="52"/>
        <v>5000</v>
      </c>
      <c r="EO265" s="655">
        <f t="shared" si="53"/>
        <v>0</v>
      </c>
      <c r="EP265" s="655">
        <f t="shared" si="54"/>
        <v>5000</v>
      </c>
      <c r="EQ265" s="481"/>
      <c r="ER265" s="655">
        <f t="shared" si="55"/>
        <v>1500</v>
      </c>
      <c r="ES265" s="656">
        <f t="shared" si="56"/>
        <v>1500</v>
      </c>
      <c r="ET265" s="656">
        <f t="shared" si="57"/>
        <v>0</v>
      </c>
      <c r="EU265" s="656">
        <f t="shared" si="58"/>
        <v>0</v>
      </c>
      <c r="EV265" s="656">
        <f t="shared" si="59"/>
        <v>1500</v>
      </c>
      <c r="EW265" s="483">
        <f t="shared" si="60"/>
        <v>1500</v>
      </c>
      <c r="EX265" s="398">
        <f t="shared" si="61"/>
        <v>0</v>
      </c>
      <c r="EY265" s="285" t="str">
        <f t="shared" si="36"/>
        <v>X</v>
      </c>
      <c r="EZ265" s="628">
        <f t="shared" si="62"/>
        <v>0</v>
      </c>
      <c r="FA265" s="628">
        <f t="shared" si="63"/>
        <v>0</v>
      </c>
    </row>
    <row r="266" spans="1:157" ht="15" customHeight="1">
      <c r="A266" s="244">
        <f t="shared" si="37"/>
        <v>-0.05</v>
      </c>
      <c r="B266" s="637">
        <v>14</v>
      </c>
      <c r="C266" s="644">
        <f t="shared" si="38"/>
        <v>0</v>
      </c>
      <c r="D266" s="628">
        <f t="shared" si="23"/>
        <v>0</v>
      </c>
      <c r="E266" s="645">
        <f t="shared" si="64"/>
        <v>0</v>
      </c>
      <c r="F266" s="645">
        <f>([1]APPLICATION!AA34)+A266</f>
        <v>-0.05</v>
      </c>
      <c r="G266" s="645">
        <f t="shared" si="24"/>
        <v>0</v>
      </c>
      <c r="H266" s="445">
        <f t="shared" si="65"/>
        <v>0</v>
      </c>
      <c r="I266" s="646">
        <f t="shared" si="65"/>
        <v>-0.1</v>
      </c>
      <c r="J266" s="646">
        <f t="shared" si="25"/>
        <v>0</v>
      </c>
      <c r="K266" s="645">
        <f>IF([1]APPLICATION!S34="N",-0.2,0)</f>
        <v>0</v>
      </c>
      <c r="L266" s="645">
        <f t="shared" si="66"/>
        <v>0</v>
      </c>
      <c r="N266" s="645">
        <f t="shared" si="67"/>
        <v>0</v>
      </c>
      <c r="O266" s="645">
        <f t="shared" si="26"/>
        <v>0</v>
      </c>
      <c r="P266" s="645">
        <f t="shared" si="26"/>
        <v>0</v>
      </c>
      <c r="Q266" s="645">
        <f t="shared" si="27"/>
        <v>0</v>
      </c>
      <c r="R266" s="646">
        <f t="shared" si="39"/>
        <v>0</v>
      </c>
      <c r="S266" s="646">
        <f t="shared" si="68"/>
        <v>0</v>
      </c>
      <c r="T266" s="399"/>
      <c r="U266" s="662">
        <f t="shared" si="40"/>
        <v>0</v>
      </c>
      <c r="V266" s="637"/>
      <c r="W266" s="476">
        <f t="shared" si="41"/>
        <v>-0.15000000000000002</v>
      </c>
      <c r="Y266" s="475">
        <f t="shared" si="42"/>
        <v>0</v>
      </c>
      <c r="Z266" s="475">
        <f t="shared" si="43"/>
        <v>0</v>
      </c>
      <c r="AA266" s="395">
        <v>0</v>
      </c>
      <c r="AC266" s="729"/>
      <c r="AD266" s="396">
        <f t="shared" si="44"/>
        <v>0</v>
      </c>
      <c r="AE266" s="396"/>
      <c r="AF266" s="396"/>
      <c r="AH266" s="653">
        <f t="shared" si="28"/>
        <v>0</v>
      </c>
      <c r="AI266" s="653">
        <f t="shared" si="28"/>
        <v>0</v>
      </c>
      <c r="AJ266" s="653">
        <f t="shared" si="28"/>
        <v>0</v>
      </c>
      <c r="AK266" s="653">
        <f t="shared" si="28"/>
        <v>0</v>
      </c>
      <c r="AL266" s="653"/>
      <c r="AM266" s="653"/>
      <c r="AN266" s="653"/>
      <c r="AO266" s="653">
        <f t="shared" si="29"/>
        <v>0</v>
      </c>
      <c r="AP266" s="653">
        <f t="shared" si="29"/>
        <v>0</v>
      </c>
      <c r="AQ266" s="653">
        <f t="shared" si="29"/>
        <v>0</v>
      </c>
      <c r="AR266" s="653">
        <f t="shared" si="29"/>
        <v>0</v>
      </c>
      <c r="AS266" s="653">
        <f t="shared" si="29"/>
        <v>0</v>
      </c>
      <c r="AT266" s="653">
        <f t="shared" si="29"/>
        <v>0</v>
      </c>
      <c r="AU266" s="653">
        <f t="shared" si="29"/>
        <v>0</v>
      </c>
      <c r="AV266" s="653">
        <f t="shared" si="29"/>
        <v>0</v>
      </c>
      <c r="AW266" s="653">
        <f t="shared" si="29"/>
        <v>0</v>
      </c>
      <c r="AX266" s="653">
        <f t="shared" si="29"/>
        <v>0</v>
      </c>
      <c r="AY266" s="653">
        <f t="shared" si="29"/>
        <v>0</v>
      </c>
      <c r="AZ266" s="653"/>
      <c r="BA266" s="653"/>
      <c r="BB266" s="653" t="s">
        <v>2</v>
      </c>
      <c r="BC266" s="653"/>
      <c r="BD266" s="653">
        <f t="shared" si="30"/>
        <v>0</v>
      </c>
      <c r="BE266" s="653">
        <f t="shared" si="30"/>
        <v>0</v>
      </c>
      <c r="BF266" s="653">
        <f t="shared" si="30"/>
        <v>0</v>
      </c>
      <c r="BG266" s="653">
        <f t="shared" si="30"/>
        <v>0</v>
      </c>
      <c r="BH266" s="653">
        <f t="shared" si="30"/>
        <v>0</v>
      </c>
      <c r="BI266" s="653">
        <f t="shared" si="30"/>
        <v>0</v>
      </c>
      <c r="BJ266" s="653">
        <f t="shared" si="30"/>
        <v>0</v>
      </c>
      <c r="BK266" s="653">
        <f t="shared" si="30"/>
        <v>0</v>
      </c>
      <c r="BL266" s="653">
        <f t="shared" si="30"/>
        <v>0</v>
      </c>
      <c r="BM266" s="653">
        <f t="shared" si="30"/>
        <v>0</v>
      </c>
      <c r="BN266" s="470"/>
      <c r="BO266" s="470"/>
      <c r="BP266" s="653">
        <f t="shared" ref="BP266:BX277" si="70">(IF($G37=BP$250,$L$238,0))</f>
        <v>0</v>
      </c>
      <c r="BQ266" s="653">
        <f t="shared" si="70"/>
        <v>0</v>
      </c>
      <c r="BR266" s="653">
        <f t="shared" si="70"/>
        <v>0</v>
      </c>
      <c r="BS266" s="653">
        <f t="shared" si="70"/>
        <v>0</v>
      </c>
      <c r="BT266" s="653">
        <f t="shared" si="70"/>
        <v>0</v>
      </c>
      <c r="BU266" s="653">
        <f t="shared" si="70"/>
        <v>0</v>
      </c>
      <c r="BV266" s="653">
        <f t="shared" si="70"/>
        <v>0</v>
      </c>
      <c r="BW266" s="653">
        <f t="shared" si="70"/>
        <v>0</v>
      </c>
      <c r="BX266" s="653">
        <f t="shared" si="70"/>
        <v>0</v>
      </c>
      <c r="BY266" s="653">
        <f t="shared" si="69"/>
        <v>0</v>
      </c>
      <c r="BZ266" s="653">
        <f t="shared" si="69"/>
        <v>0</v>
      </c>
      <c r="CA266" s="653">
        <f t="shared" si="69"/>
        <v>0</v>
      </c>
      <c r="CB266" s="653">
        <f t="shared" si="69"/>
        <v>0</v>
      </c>
      <c r="CC266" s="653">
        <f t="shared" si="69"/>
        <v>0</v>
      </c>
      <c r="CD266" s="653">
        <f t="shared" si="69"/>
        <v>0</v>
      </c>
      <c r="CE266" s="653">
        <f t="shared" si="69"/>
        <v>0</v>
      </c>
      <c r="CF266" s="653">
        <f t="shared" si="69"/>
        <v>0</v>
      </c>
      <c r="CG266" s="653">
        <f t="shared" si="69"/>
        <v>0</v>
      </c>
      <c r="CH266" s="653">
        <f t="shared" si="69"/>
        <v>0</v>
      </c>
      <c r="CI266" s="653">
        <f t="shared" si="69"/>
        <v>0</v>
      </c>
      <c r="CJ266" s="653">
        <f t="shared" si="69"/>
        <v>0</v>
      </c>
      <c r="CK266" s="653"/>
      <c r="CL266" s="653"/>
      <c r="CM266" s="470"/>
      <c r="CN266" s="653">
        <f t="shared" si="32"/>
        <v>0</v>
      </c>
      <c r="CO266" s="653">
        <f t="shared" si="32"/>
        <v>0</v>
      </c>
      <c r="CP266" s="653">
        <f t="shared" si="32"/>
        <v>0</v>
      </c>
      <c r="CQ266" s="470"/>
      <c r="CR266" s="470"/>
      <c r="CS266" s="653">
        <f t="shared" si="33"/>
        <v>0</v>
      </c>
      <c r="CT266" s="653">
        <f t="shared" si="33"/>
        <v>0</v>
      </c>
      <c r="CU266" s="653">
        <f t="shared" si="33"/>
        <v>0</v>
      </c>
      <c r="CV266" s="653">
        <f t="shared" si="33"/>
        <v>0</v>
      </c>
      <c r="CW266" s="653">
        <f t="shared" si="33"/>
        <v>0</v>
      </c>
      <c r="CX266" s="653">
        <f t="shared" si="33"/>
        <v>0</v>
      </c>
      <c r="CY266" s="653">
        <f t="shared" si="33"/>
        <v>0</v>
      </c>
      <c r="CZ266" s="470"/>
      <c r="DA266" s="470"/>
      <c r="DB266" s="653">
        <f t="shared" si="34"/>
        <v>0</v>
      </c>
      <c r="DC266" s="653">
        <f t="shared" si="34"/>
        <v>0</v>
      </c>
      <c r="DD266" s="653">
        <f t="shared" si="34"/>
        <v>0</v>
      </c>
      <c r="DE266" s="653">
        <f t="shared" si="34"/>
        <v>0</v>
      </c>
      <c r="DF266" s="653">
        <f t="shared" si="34"/>
        <v>0</v>
      </c>
      <c r="DG266" s="653">
        <f t="shared" si="34"/>
        <v>0</v>
      </c>
      <c r="DH266" s="653">
        <f t="shared" si="34"/>
        <v>0</v>
      </c>
      <c r="DI266" s="653">
        <f t="shared" si="34"/>
        <v>0</v>
      </c>
      <c r="DJ266" s="653">
        <f t="shared" ref="DJ266:DT277" si="71">(IF($G37=DJ$250,$L$239,0))</f>
        <v>0</v>
      </c>
      <c r="DK266" s="653">
        <f t="shared" si="71"/>
        <v>0</v>
      </c>
      <c r="DL266" s="653">
        <f t="shared" si="71"/>
        <v>0</v>
      </c>
      <c r="DM266" s="653">
        <f t="shared" si="71"/>
        <v>0</v>
      </c>
      <c r="DN266" s="653">
        <f t="shared" si="71"/>
        <v>0</v>
      </c>
      <c r="DO266" s="653">
        <f t="shared" si="71"/>
        <v>0</v>
      </c>
      <c r="DP266" s="653">
        <f t="shared" si="71"/>
        <v>0</v>
      </c>
      <c r="DQ266" s="653">
        <f t="shared" si="71"/>
        <v>0</v>
      </c>
      <c r="DR266" s="653">
        <f t="shared" si="71"/>
        <v>0</v>
      </c>
      <c r="DS266" s="653">
        <f t="shared" si="71"/>
        <v>0</v>
      </c>
      <c r="DT266" s="653">
        <f t="shared" si="71"/>
        <v>0</v>
      </c>
      <c r="DU266" s="653"/>
      <c r="DV266" s="653"/>
      <c r="DW266" s="470"/>
      <c r="DX266" s="470"/>
      <c r="DY266" s="474">
        <f t="shared" si="45"/>
        <v>0</v>
      </c>
      <c r="EA266" s="730">
        <f t="shared" si="46"/>
        <v>0</v>
      </c>
      <c r="EG266" s="731">
        <f t="shared" si="35"/>
        <v>9.9999999999999995E-8</v>
      </c>
      <c r="EH266" s="655">
        <f t="shared" si="47"/>
        <v>1500</v>
      </c>
      <c r="EI266" s="655">
        <f t="shared" si="48"/>
        <v>0</v>
      </c>
      <c r="EJ266" s="655">
        <f t="shared" si="49"/>
        <v>0</v>
      </c>
      <c r="EK266" s="655">
        <f t="shared" si="50"/>
        <v>0</v>
      </c>
      <c r="EL266" s="655">
        <f t="shared" si="51"/>
        <v>1500</v>
      </c>
      <c r="EM266" s="655"/>
      <c r="EN266" s="655">
        <f t="shared" si="52"/>
        <v>5000</v>
      </c>
      <c r="EO266" s="655">
        <f t="shared" si="53"/>
        <v>0</v>
      </c>
      <c r="EP266" s="655">
        <f t="shared" si="54"/>
        <v>5000</v>
      </c>
      <c r="EQ266" s="481"/>
      <c r="ER266" s="655">
        <f t="shared" si="55"/>
        <v>1500</v>
      </c>
      <c r="ES266" s="656">
        <f t="shared" si="56"/>
        <v>1500</v>
      </c>
      <c r="ET266" s="656">
        <f t="shared" si="57"/>
        <v>0</v>
      </c>
      <c r="EU266" s="656">
        <f t="shared" si="58"/>
        <v>0</v>
      </c>
      <c r="EV266" s="656">
        <f t="shared" si="59"/>
        <v>1500</v>
      </c>
      <c r="EW266" s="483">
        <f t="shared" si="60"/>
        <v>1500</v>
      </c>
      <c r="EX266" s="398">
        <f t="shared" si="61"/>
        <v>0</v>
      </c>
      <c r="EY266" s="285" t="str">
        <f t="shared" si="36"/>
        <v>X</v>
      </c>
      <c r="EZ266" s="628">
        <f t="shared" si="62"/>
        <v>0</v>
      </c>
      <c r="FA266" s="628">
        <f t="shared" si="63"/>
        <v>0</v>
      </c>
    </row>
    <row r="267" spans="1:157" ht="15" customHeight="1">
      <c r="A267" s="244">
        <f t="shared" si="37"/>
        <v>-0.05</v>
      </c>
      <c r="B267" s="637">
        <v>15</v>
      </c>
      <c r="C267" s="644">
        <f t="shared" si="38"/>
        <v>0</v>
      </c>
      <c r="D267" s="628">
        <f t="shared" si="23"/>
        <v>0</v>
      </c>
      <c r="E267" s="645">
        <f t="shared" si="64"/>
        <v>0</v>
      </c>
      <c r="F267" s="645">
        <f>([1]APPLICATION!AA35)+A267</f>
        <v>-0.05</v>
      </c>
      <c r="G267" s="645">
        <f t="shared" si="24"/>
        <v>0</v>
      </c>
      <c r="H267" s="445">
        <f t="shared" si="65"/>
        <v>0</v>
      </c>
      <c r="I267" s="646">
        <f t="shared" si="65"/>
        <v>-0.1</v>
      </c>
      <c r="J267" s="646">
        <f t="shared" si="25"/>
        <v>0</v>
      </c>
      <c r="K267" s="645">
        <f>IF([1]APPLICATION!S35="N",-0.2,0)</f>
        <v>0</v>
      </c>
      <c r="L267" s="645">
        <f t="shared" si="66"/>
        <v>0</v>
      </c>
      <c r="N267" s="645">
        <f t="shared" si="67"/>
        <v>0</v>
      </c>
      <c r="O267" s="645">
        <f t="shared" si="26"/>
        <v>0</v>
      </c>
      <c r="P267" s="645">
        <f t="shared" si="26"/>
        <v>0</v>
      </c>
      <c r="Q267" s="645">
        <f t="shared" si="27"/>
        <v>0</v>
      </c>
      <c r="R267" s="646">
        <f t="shared" si="39"/>
        <v>0</v>
      </c>
      <c r="S267" s="646">
        <f t="shared" si="68"/>
        <v>0</v>
      </c>
      <c r="T267" s="399"/>
      <c r="U267" s="662">
        <f t="shared" si="40"/>
        <v>0</v>
      </c>
      <c r="V267" s="637"/>
      <c r="W267" s="476">
        <f t="shared" si="41"/>
        <v>-0.15000000000000002</v>
      </c>
      <c r="Y267" s="475">
        <f t="shared" si="42"/>
        <v>0</v>
      </c>
      <c r="Z267" s="475">
        <f t="shared" si="43"/>
        <v>0</v>
      </c>
      <c r="AA267" s="395">
        <v>0</v>
      </c>
      <c r="AC267" s="729"/>
      <c r="AD267" s="396">
        <f t="shared" si="44"/>
        <v>0</v>
      </c>
      <c r="AE267" s="396"/>
      <c r="AF267" s="396"/>
      <c r="AH267" s="653">
        <f t="shared" si="28"/>
        <v>0</v>
      </c>
      <c r="AI267" s="653">
        <f t="shared" si="28"/>
        <v>0</v>
      </c>
      <c r="AJ267" s="653">
        <f t="shared" si="28"/>
        <v>0</v>
      </c>
      <c r="AK267" s="653">
        <f t="shared" si="28"/>
        <v>0</v>
      </c>
      <c r="AL267" s="653"/>
      <c r="AM267" s="653"/>
      <c r="AN267" s="653"/>
      <c r="AO267" s="653">
        <f t="shared" si="29"/>
        <v>0</v>
      </c>
      <c r="AP267" s="653">
        <f t="shared" si="29"/>
        <v>0</v>
      </c>
      <c r="AQ267" s="653">
        <f t="shared" si="29"/>
        <v>0</v>
      </c>
      <c r="AR267" s="653">
        <f t="shared" si="29"/>
        <v>0</v>
      </c>
      <c r="AS267" s="653">
        <f t="shared" si="29"/>
        <v>0</v>
      </c>
      <c r="AT267" s="653">
        <f t="shared" si="29"/>
        <v>0</v>
      </c>
      <c r="AU267" s="653">
        <f t="shared" si="29"/>
        <v>0</v>
      </c>
      <c r="AV267" s="653">
        <f t="shared" si="29"/>
        <v>0</v>
      </c>
      <c r="AW267" s="653">
        <f t="shared" si="29"/>
        <v>0</v>
      </c>
      <c r="AX267" s="653">
        <f t="shared" si="29"/>
        <v>0</v>
      </c>
      <c r="AY267" s="653">
        <f t="shared" si="29"/>
        <v>0</v>
      </c>
      <c r="AZ267" s="653"/>
      <c r="BA267" s="653"/>
      <c r="BB267" s="653" t="s">
        <v>2</v>
      </c>
      <c r="BC267" s="653"/>
      <c r="BD267" s="653">
        <f t="shared" si="30"/>
        <v>0</v>
      </c>
      <c r="BE267" s="653">
        <f t="shared" si="30"/>
        <v>0</v>
      </c>
      <c r="BF267" s="653">
        <f t="shared" si="30"/>
        <v>0</v>
      </c>
      <c r="BG267" s="653">
        <f t="shared" si="30"/>
        <v>0</v>
      </c>
      <c r="BH267" s="653">
        <f t="shared" si="30"/>
        <v>0</v>
      </c>
      <c r="BI267" s="653">
        <f t="shared" si="30"/>
        <v>0</v>
      </c>
      <c r="BJ267" s="653">
        <f t="shared" si="30"/>
        <v>0</v>
      </c>
      <c r="BK267" s="653">
        <f t="shared" si="30"/>
        <v>0</v>
      </c>
      <c r="BL267" s="653">
        <f t="shared" si="30"/>
        <v>0</v>
      </c>
      <c r="BM267" s="653">
        <f t="shared" si="30"/>
        <v>0</v>
      </c>
      <c r="BN267" s="470"/>
      <c r="BO267" s="470"/>
      <c r="BP267" s="653">
        <f t="shared" si="70"/>
        <v>0</v>
      </c>
      <c r="BQ267" s="653">
        <f t="shared" si="70"/>
        <v>0</v>
      </c>
      <c r="BR267" s="653">
        <f t="shared" si="70"/>
        <v>0</v>
      </c>
      <c r="BS267" s="653">
        <f t="shared" si="70"/>
        <v>0</v>
      </c>
      <c r="BT267" s="653">
        <f t="shared" si="70"/>
        <v>0</v>
      </c>
      <c r="BU267" s="653">
        <f t="shared" si="70"/>
        <v>0</v>
      </c>
      <c r="BV267" s="653">
        <f t="shared" si="70"/>
        <v>0</v>
      </c>
      <c r="BW267" s="653">
        <f t="shared" si="70"/>
        <v>0</v>
      </c>
      <c r="BX267" s="653">
        <f t="shared" si="70"/>
        <v>0</v>
      </c>
      <c r="BY267" s="653">
        <f t="shared" si="69"/>
        <v>0</v>
      </c>
      <c r="BZ267" s="653">
        <f t="shared" si="69"/>
        <v>0</v>
      </c>
      <c r="CA267" s="653">
        <f t="shared" si="69"/>
        <v>0</v>
      </c>
      <c r="CB267" s="653">
        <f t="shared" si="69"/>
        <v>0</v>
      </c>
      <c r="CC267" s="653">
        <f t="shared" si="69"/>
        <v>0</v>
      </c>
      <c r="CD267" s="653">
        <f t="shared" si="69"/>
        <v>0</v>
      </c>
      <c r="CE267" s="653">
        <f t="shared" si="69"/>
        <v>0</v>
      </c>
      <c r="CF267" s="653">
        <f t="shared" si="69"/>
        <v>0</v>
      </c>
      <c r="CG267" s="653">
        <f t="shared" si="69"/>
        <v>0</v>
      </c>
      <c r="CH267" s="653">
        <f t="shared" si="69"/>
        <v>0</v>
      </c>
      <c r="CI267" s="653">
        <f t="shared" si="69"/>
        <v>0</v>
      </c>
      <c r="CJ267" s="653">
        <f t="shared" si="69"/>
        <v>0</v>
      </c>
      <c r="CK267" s="653"/>
      <c r="CL267" s="653"/>
      <c r="CM267" s="470"/>
      <c r="CN267" s="653">
        <f t="shared" si="32"/>
        <v>0</v>
      </c>
      <c r="CO267" s="653">
        <f t="shared" si="32"/>
        <v>0</v>
      </c>
      <c r="CP267" s="653">
        <f t="shared" si="32"/>
        <v>0</v>
      </c>
      <c r="CQ267" s="470"/>
      <c r="CR267" s="470"/>
      <c r="CS267" s="653">
        <f t="shared" si="33"/>
        <v>0</v>
      </c>
      <c r="CT267" s="653">
        <f t="shared" si="33"/>
        <v>0</v>
      </c>
      <c r="CU267" s="653">
        <f t="shared" si="33"/>
        <v>0</v>
      </c>
      <c r="CV267" s="653">
        <f t="shared" si="33"/>
        <v>0</v>
      </c>
      <c r="CW267" s="653">
        <f t="shared" si="33"/>
        <v>0</v>
      </c>
      <c r="CX267" s="653">
        <f t="shared" si="33"/>
        <v>0</v>
      </c>
      <c r="CY267" s="653">
        <f t="shared" si="33"/>
        <v>0</v>
      </c>
      <c r="CZ267" s="470"/>
      <c r="DA267" s="470"/>
      <c r="DB267" s="653">
        <f t="shared" ref="DB267:DL277" si="72">(IF($G38=DB$250,$L$239,0))</f>
        <v>0</v>
      </c>
      <c r="DC267" s="653">
        <f t="shared" si="72"/>
        <v>0</v>
      </c>
      <c r="DD267" s="653">
        <f t="shared" si="72"/>
        <v>0</v>
      </c>
      <c r="DE267" s="653">
        <f t="shared" si="72"/>
        <v>0</v>
      </c>
      <c r="DF267" s="653">
        <f t="shared" si="72"/>
        <v>0</v>
      </c>
      <c r="DG267" s="653">
        <f t="shared" si="72"/>
        <v>0</v>
      </c>
      <c r="DH267" s="653">
        <f t="shared" si="72"/>
        <v>0</v>
      </c>
      <c r="DI267" s="653">
        <f t="shared" si="72"/>
        <v>0</v>
      </c>
      <c r="DJ267" s="653">
        <f t="shared" si="72"/>
        <v>0</v>
      </c>
      <c r="DK267" s="653">
        <f t="shared" si="72"/>
        <v>0</v>
      </c>
      <c r="DL267" s="653">
        <f t="shared" si="72"/>
        <v>0</v>
      </c>
      <c r="DM267" s="653">
        <f t="shared" si="71"/>
        <v>0</v>
      </c>
      <c r="DN267" s="653">
        <f t="shared" si="71"/>
        <v>0</v>
      </c>
      <c r="DO267" s="653">
        <f t="shared" si="71"/>
        <v>0</v>
      </c>
      <c r="DP267" s="653">
        <f t="shared" si="71"/>
        <v>0</v>
      </c>
      <c r="DQ267" s="653">
        <f t="shared" si="71"/>
        <v>0</v>
      </c>
      <c r="DR267" s="653">
        <f t="shared" si="71"/>
        <v>0</v>
      </c>
      <c r="DS267" s="653">
        <f t="shared" si="71"/>
        <v>0</v>
      </c>
      <c r="DT267" s="653">
        <f t="shared" si="71"/>
        <v>0</v>
      </c>
      <c r="DU267" s="653"/>
      <c r="DV267" s="653"/>
      <c r="DW267" s="470"/>
      <c r="DX267" s="470"/>
      <c r="DY267" s="474">
        <f t="shared" si="45"/>
        <v>0</v>
      </c>
      <c r="EA267" s="730">
        <f t="shared" si="46"/>
        <v>0</v>
      </c>
      <c r="EG267" s="731">
        <f t="shared" si="35"/>
        <v>9.9999999999999995E-8</v>
      </c>
      <c r="EH267" s="655">
        <f t="shared" si="47"/>
        <v>1500</v>
      </c>
      <c r="EI267" s="655">
        <f t="shared" si="48"/>
        <v>0</v>
      </c>
      <c r="EJ267" s="655">
        <f t="shared" si="49"/>
        <v>0</v>
      </c>
      <c r="EK267" s="655">
        <f t="shared" si="50"/>
        <v>0</v>
      </c>
      <c r="EL267" s="655">
        <f t="shared" si="51"/>
        <v>1500</v>
      </c>
      <c r="EM267" s="655"/>
      <c r="EN267" s="655">
        <f t="shared" si="52"/>
        <v>5000</v>
      </c>
      <c r="EO267" s="655">
        <f t="shared" si="53"/>
        <v>0</v>
      </c>
      <c r="EP267" s="655">
        <f t="shared" si="54"/>
        <v>5000</v>
      </c>
      <c r="EQ267" s="481"/>
      <c r="ER267" s="655">
        <f t="shared" si="55"/>
        <v>1500</v>
      </c>
      <c r="ES267" s="656">
        <f t="shared" si="56"/>
        <v>1500</v>
      </c>
      <c r="ET267" s="656">
        <f t="shared" si="57"/>
        <v>0</v>
      </c>
      <c r="EU267" s="656">
        <f t="shared" si="58"/>
        <v>0</v>
      </c>
      <c r="EV267" s="656">
        <f t="shared" si="59"/>
        <v>1500</v>
      </c>
      <c r="EW267" s="483">
        <f t="shared" si="60"/>
        <v>1500</v>
      </c>
      <c r="EX267" s="398">
        <f t="shared" si="61"/>
        <v>0</v>
      </c>
      <c r="EY267" s="285" t="str">
        <f t="shared" si="36"/>
        <v>X</v>
      </c>
      <c r="EZ267" s="628">
        <f t="shared" si="62"/>
        <v>0</v>
      </c>
      <c r="FA267" s="628">
        <f t="shared" si="63"/>
        <v>0</v>
      </c>
    </row>
    <row r="268" spans="1:157" ht="15" customHeight="1">
      <c r="A268" s="244">
        <f t="shared" si="37"/>
        <v>-0.05</v>
      </c>
      <c r="B268" s="637">
        <v>16</v>
      </c>
      <c r="C268" s="644">
        <f t="shared" si="38"/>
        <v>0</v>
      </c>
      <c r="D268" s="628">
        <f t="shared" si="23"/>
        <v>0</v>
      </c>
      <c r="E268" s="645">
        <f t="shared" si="64"/>
        <v>0</v>
      </c>
      <c r="F268" s="645">
        <f>([1]APPLICATION!AA36)+A268</f>
        <v>-0.05</v>
      </c>
      <c r="G268" s="645">
        <f t="shared" si="24"/>
        <v>0</v>
      </c>
      <c r="H268" s="445">
        <f t="shared" si="65"/>
        <v>0</v>
      </c>
      <c r="I268" s="646">
        <f t="shared" si="65"/>
        <v>-0.1</v>
      </c>
      <c r="J268" s="646">
        <f t="shared" si="25"/>
        <v>0</v>
      </c>
      <c r="K268" s="645">
        <f>IF([1]APPLICATION!S36="N",-0.2,0)</f>
        <v>0</v>
      </c>
      <c r="L268" s="645">
        <f t="shared" si="66"/>
        <v>0</v>
      </c>
      <c r="N268" s="645">
        <f t="shared" si="67"/>
        <v>0</v>
      </c>
      <c r="O268" s="645">
        <f t="shared" si="26"/>
        <v>0</v>
      </c>
      <c r="P268" s="645">
        <f t="shared" si="26"/>
        <v>0</v>
      </c>
      <c r="Q268" s="645">
        <f t="shared" si="27"/>
        <v>0</v>
      </c>
      <c r="R268" s="646">
        <f t="shared" si="39"/>
        <v>0</v>
      </c>
      <c r="S268" s="646">
        <f t="shared" si="68"/>
        <v>0</v>
      </c>
      <c r="T268" s="399"/>
      <c r="U268" s="662">
        <f t="shared" si="40"/>
        <v>0</v>
      </c>
      <c r="V268" s="637"/>
      <c r="W268" s="476">
        <f t="shared" si="41"/>
        <v>-0.15000000000000002</v>
      </c>
      <c r="Y268" s="475">
        <f t="shared" si="42"/>
        <v>0</v>
      </c>
      <c r="Z268" s="475">
        <f t="shared" si="43"/>
        <v>0</v>
      </c>
      <c r="AA268" s="395">
        <v>0</v>
      </c>
      <c r="AC268" s="729"/>
      <c r="AD268" s="396">
        <f t="shared" si="44"/>
        <v>0</v>
      </c>
      <c r="AE268" s="396"/>
      <c r="AF268" s="396"/>
      <c r="AH268" s="653">
        <f t="shared" si="28"/>
        <v>0</v>
      </c>
      <c r="AI268" s="653">
        <f t="shared" si="28"/>
        <v>0</v>
      </c>
      <c r="AJ268" s="653">
        <f t="shared" si="28"/>
        <v>0</v>
      </c>
      <c r="AK268" s="653">
        <f t="shared" si="28"/>
        <v>0</v>
      </c>
      <c r="AL268" s="653"/>
      <c r="AM268" s="653"/>
      <c r="AN268" s="653"/>
      <c r="AO268" s="653">
        <f t="shared" si="29"/>
        <v>0</v>
      </c>
      <c r="AP268" s="653">
        <f t="shared" si="29"/>
        <v>0</v>
      </c>
      <c r="AQ268" s="653">
        <f t="shared" si="29"/>
        <v>0</v>
      </c>
      <c r="AR268" s="653">
        <f t="shared" si="29"/>
        <v>0</v>
      </c>
      <c r="AS268" s="653">
        <f t="shared" si="29"/>
        <v>0</v>
      </c>
      <c r="AT268" s="653">
        <f t="shared" si="29"/>
        <v>0</v>
      </c>
      <c r="AU268" s="653">
        <f t="shared" si="29"/>
        <v>0</v>
      </c>
      <c r="AV268" s="653">
        <f t="shared" si="29"/>
        <v>0</v>
      </c>
      <c r="AW268" s="653">
        <f t="shared" si="29"/>
        <v>0</v>
      </c>
      <c r="AX268" s="653">
        <f t="shared" si="29"/>
        <v>0</v>
      </c>
      <c r="AY268" s="653">
        <f t="shared" si="29"/>
        <v>0</v>
      </c>
      <c r="AZ268" s="653"/>
      <c r="BA268" s="653"/>
      <c r="BB268" s="653" t="s">
        <v>2</v>
      </c>
      <c r="BC268" s="653"/>
      <c r="BD268" s="653">
        <f t="shared" si="30"/>
        <v>0</v>
      </c>
      <c r="BE268" s="653">
        <f t="shared" si="30"/>
        <v>0</v>
      </c>
      <c r="BF268" s="653">
        <f t="shared" si="30"/>
        <v>0</v>
      </c>
      <c r="BG268" s="653">
        <f t="shared" si="30"/>
        <v>0</v>
      </c>
      <c r="BH268" s="653">
        <f t="shared" si="30"/>
        <v>0</v>
      </c>
      <c r="BI268" s="653">
        <f t="shared" si="30"/>
        <v>0</v>
      </c>
      <c r="BJ268" s="653">
        <f t="shared" si="30"/>
        <v>0</v>
      </c>
      <c r="BK268" s="653">
        <f t="shared" si="30"/>
        <v>0</v>
      </c>
      <c r="BL268" s="653">
        <f t="shared" si="30"/>
        <v>0</v>
      </c>
      <c r="BM268" s="653">
        <f t="shared" si="30"/>
        <v>0</v>
      </c>
      <c r="BN268" s="470"/>
      <c r="BO268" s="470"/>
      <c r="BP268" s="653">
        <f t="shared" si="70"/>
        <v>0</v>
      </c>
      <c r="BQ268" s="653">
        <f t="shared" si="70"/>
        <v>0</v>
      </c>
      <c r="BR268" s="653">
        <f t="shared" si="70"/>
        <v>0</v>
      </c>
      <c r="BS268" s="653">
        <f t="shared" si="70"/>
        <v>0</v>
      </c>
      <c r="BT268" s="653">
        <f t="shared" si="70"/>
        <v>0</v>
      </c>
      <c r="BU268" s="653">
        <f t="shared" si="70"/>
        <v>0</v>
      </c>
      <c r="BV268" s="653">
        <f t="shared" si="70"/>
        <v>0</v>
      </c>
      <c r="BW268" s="653">
        <f t="shared" si="70"/>
        <v>0</v>
      </c>
      <c r="BX268" s="653">
        <f t="shared" si="70"/>
        <v>0</v>
      </c>
      <c r="BY268" s="653">
        <f t="shared" si="69"/>
        <v>0</v>
      </c>
      <c r="BZ268" s="653">
        <f t="shared" si="69"/>
        <v>0</v>
      </c>
      <c r="CA268" s="653">
        <f t="shared" si="69"/>
        <v>0</v>
      </c>
      <c r="CB268" s="653">
        <f t="shared" si="69"/>
        <v>0</v>
      </c>
      <c r="CC268" s="653">
        <f t="shared" si="69"/>
        <v>0</v>
      </c>
      <c r="CD268" s="653">
        <f t="shared" si="69"/>
        <v>0</v>
      </c>
      <c r="CE268" s="653">
        <f t="shared" si="69"/>
        <v>0</v>
      </c>
      <c r="CF268" s="653">
        <f t="shared" si="69"/>
        <v>0</v>
      </c>
      <c r="CG268" s="653">
        <f t="shared" si="69"/>
        <v>0</v>
      </c>
      <c r="CH268" s="653">
        <f t="shared" si="69"/>
        <v>0</v>
      </c>
      <c r="CI268" s="653">
        <f t="shared" si="69"/>
        <v>0</v>
      </c>
      <c r="CJ268" s="653">
        <f t="shared" si="69"/>
        <v>0</v>
      </c>
      <c r="CK268" s="653"/>
      <c r="CL268" s="653"/>
      <c r="CM268" s="470"/>
      <c r="CN268" s="653">
        <f t="shared" si="32"/>
        <v>0</v>
      </c>
      <c r="CO268" s="653">
        <f t="shared" si="32"/>
        <v>0</v>
      </c>
      <c r="CP268" s="653">
        <f t="shared" si="32"/>
        <v>0</v>
      </c>
      <c r="CQ268" s="470"/>
      <c r="CR268" s="470"/>
      <c r="CS268" s="653">
        <f t="shared" si="33"/>
        <v>0</v>
      </c>
      <c r="CT268" s="653">
        <f t="shared" si="33"/>
        <v>0</v>
      </c>
      <c r="CU268" s="653">
        <f t="shared" si="33"/>
        <v>0</v>
      </c>
      <c r="CV268" s="653">
        <f t="shared" si="33"/>
        <v>0</v>
      </c>
      <c r="CW268" s="653">
        <f t="shared" si="33"/>
        <v>0</v>
      </c>
      <c r="CX268" s="653">
        <f t="shared" si="33"/>
        <v>0</v>
      </c>
      <c r="CY268" s="653">
        <f t="shared" si="33"/>
        <v>0</v>
      </c>
      <c r="CZ268" s="470"/>
      <c r="DA268" s="470"/>
      <c r="DB268" s="653">
        <f t="shared" si="72"/>
        <v>0</v>
      </c>
      <c r="DC268" s="653">
        <f t="shared" si="72"/>
        <v>0</v>
      </c>
      <c r="DD268" s="653">
        <f t="shared" si="72"/>
        <v>0</v>
      </c>
      <c r="DE268" s="653">
        <f t="shared" si="72"/>
        <v>0</v>
      </c>
      <c r="DF268" s="653">
        <f t="shared" si="72"/>
        <v>0</v>
      </c>
      <c r="DG268" s="653">
        <f t="shared" si="72"/>
        <v>0</v>
      </c>
      <c r="DH268" s="653">
        <f t="shared" si="72"/>
        <v>0</v>
      </c>
      <c r="DI268" s="653">
        <f t="shared" si="72"/>
        <v>0</v>
      </c>
      <c r="DJ268" s="653">
        <f t="shared" si="72"/>
        <v>0</v>
      </c>
      <c r="DK268" s="653">
        <f t="shared" si="72"/>
        <v>0</v>
      </c>
      <c r="DL268" s="653">
        <f t="shared" si="72"/>
        <v>0</v>
      </c>
      <c r="DM268" s="653">
        <f t="shared" si="71"/>
        <v>0</v>
      </c>
      <c r="DN268" s="653">
        <f t="shared" si="71"/>
        <v>0</v>
      </c>
      <c r="DO268" s="653">
        <f t="shared" si="71"/>
        <v>0</v>
      </c>
      <c r="DP268" s="653">
        <f t="shared" si="71"/>
        <v>0</v>
      </c>
      <c r="DQ268" s="653">
        <f t="shared" si="71"/>
        <v>0</v>
      </c>
      <c r="DR268" s="653">
        <f t="shared" si="71"/>
        <v>0</v>
      </c>
      <c r="DS268" s="653">
        <f t="shared" si="71"/>
        <v>0</v>
      </c>
      <c r="DT268" s="653">
        <f t="shared" si="71"/>
        <v>0</v>
      </c>
      <c r="DU268" s="653"/>
      <c r="DV268" s="653"/>
      <c r="DW268" s="470"/>
      <c r="DX268" s="470"/>
      <c r="DY268" s="474">
        <f t="shared" si="45"/>
        <v>0</v>
      </c>
      <c r="EA268" s="730">
        <f t="shared" si="46"/>
        <v>0</v>
      </c>
      <c r="EG268" s="731">
        <f t="shared" si="35"/>
        <v>9.9999999999999995E-8</v>
      </c>
      <c r="EH268" s="655">
        <f t="shared" si="47"/>
        <v>1500</v>
      </c>
      <c r="EI268" s="655">
        <f t="shared" si="48"/>
        <v>0</v>
      </c>
      <c r="EJ268" s="655">
        <f t="shared" si="49"/>
        <v>0</v>
      </c>
      <c r="EK268" s="655">
        <f t="shared" si="50"/>
        <v>0</v>
      </c>
      <c r="EL268" s="655">
        <f t="shared" si="51"/>
        <v>1500</v>
      </c>
      <c r="EM268" s="655"/>
      <c r="EN268" s="655">
        <f t="shared" si="52"/>
        <v>5000</v>
      </c>
      <c r="EO268" s="655">
        <f t="shared" si="53"/>
        <v>0</v>
      </c>
      <c r="EP268" s="655">
        <f t="shared" si="54"/>
        <v>5000</v>
      </c>
      <c r="EQ268" s="481"/>
      <c r="ER268" s="655">
        <f t="shared" si="55"/>
        <v>1500</v>
      </c>
      <c r="ES268" s="656">
        <f t="shared" si="56"/>
        <v>1500</v>
      </c>
      <c r="ET268" s="656">
        <f t="shared" si="57"/>
        <v>0</v>
      </c>
      <c r="EU268" s="656">
        <f t="shared" si="58"/>
        <v>0</v>
      </c>
      <c r="EV268" s="656">
        <f t="shared" si="59"/>
        <v>1500</v>
      </c>
      <c r="EW268" s="483">
        <f t="shared" si="60"/>
        <v>1500</v>
      </c>
      <c r="EX268" s="398">
        <f t="shared" si="61"/>
        <v>0</v>
      </c>
      <c r="EY268" s="285" t="str">
        <f t="shared" si="36"/>
        <v>X</v>
      </c>
      <c r="EZ268" s="628">
        <f t="shared" si="62"/>
        <v>0</v>
      </c>
      <c r="FA268" s="628">
        <f t="shared" si="63"/>
        <v>0</v>
      </c>
    </row>
    <row r="269" spans="1:157" ht="15" customHeight="1">
      <c r="A269" s="244">
        <f t="shared" si="37"/>
        <v>-0.05</v>
      </c>
      <c r="B269" s="637">
        <v>17</v>
      </c>
      <c r="C269" s="644">
        <f t="shared" si="38"/>
        <v>0</v>
      </c>
      <c r="D269" s="628">
        <f t="shared" si="23"/>
        <v>0</v>
      </c>
      <c r="E269" s="645">
        <f t="shared" si="64"/>
        <v>0</v>
      </c>
      <c r="F269" s="645">
        <f>([1]APPLICATION!AA37)+A269</f>
        <v>-0.05</v>
      </c>
      <c r="G269" s="645">
        <f t="shared" si="24"/>
        <v>0</v>
      </c>
      <c r="H269" s="445">
        <f t="shared" si="65"/>
        <v>0</v>
      </c>
      <c r="I269" s="646">
        <f t="shared" si="65"/>
        <v>-0.1</v>
      </c>
      <c r="J269" s="646">
        <f t="shared" si="25"/>
        <v>0</v>
      </c>
      <c r="K269" s="645">
        <f>IF([1]APPLICATION!S37="N",-0.2,0)</f>
        <v>0</v>
      </c>
      <c r="L269" s="645">
        <f t="shared" si="66"/>
        <v>0</v>
      </c>
      <c r="N269" s="645">
        <f t="shared" si="67"/>
        <v>0</v>
      </c>
      <c r="O269" s="645">
        <f t="shared" si="26"/>
        <v>0</v>
      </c>
      <c r="P269" s="645">
        <f t="shared" si="26"/>
        <v>0</v>
      </c>
      <c r="Q269" s="645">
        <f t="shared" si="27"/>
        <v>0</v>
      </c>
      <c r="R269" s="646">
        <f t="shared" si="39"/>
        <v>0</v>
      </c>
      <c r="S269" s="646">
        <f t="shared" si="68"/>
        <v>0</v>
      </c>
      <c r="T269" s="399"/>
      <c r="U269" s="662">
        <f t="shared" si="40"/>
        <v>0</v>
      </c>
      <c r="V269" s="637"/>
      <c r="W269" s="476">
        <f t="shared" si="41"/>
        <v>-0.15000000000000002</v>
      </c>
      <c r="Y269" s="475">
        <f t="shared" si="42"/>
        <v>0</v>
      </c>
      <c r="Z269" s="475">
        <f t="shared" si="43"/>
        <v>0</v>
      </c>
      <c r="AA269" s="395">
        <v>0</v>
      </c>
      <c r="AC269" s="729"/>
      <c r="AD269" s="396">
        <f t="shared" si="44"/>
        <v>0</v>
      </c>
      <c r="AE269" s="396"/>
      <c r="AF269" s="396"/>
      <c r="AH269" s="653">
        <f t="shared" ref="AH269:AK277" si="73">(IF($G40=$AH$250,$L$242,0))</f>
        <v>0</v>
      </c>
      <c r="AI269" s="653">
        <f t="shared" si="73"/>
        <v>0</v>
      </c>
      <c r="AJ269" s="653">
        <f t="shared" si="73"/>
        <v>0</v>
      </c>
      <c r="AK269" s="653">
        <f t="shared" si="73"/>
        <v>0</v>
      </c>
      <c r="AL269" s="653"/>
      <c r="AM269" s="653"/>
      <c r="AN269" s="653"/>
      <c r="AO269" s="653">
        <f t="shared" ref="AO269:AY277" si="74">(IF($G40=AO$250,$L$237,0))</f>
        <v>0</v>
      </c>
      <c r="AP269" s="653">
        <f t="shared" si="74"/>
        <v>0</v>
      </c>
      <c r="AQ269" s="653">
        <f t="shared" si="74"/>
        <v>0</v>
      </c>
      <c r="AR269" s="653">
        <f t="shared" si="74"/>
        <v>0</v>
      </c>
      <c r="AS269" s="653">
        <f t="shared" si="74"/>
        <v>0</v>
      </c>
      <c r="AT269" s="653">
        <f t="shared" si="74"/>
        <v>0</v>
      </c>
      <c r="AU269" s="653">
        <f t="shared" si="74"/>
        <v>0</v>
      </c>
      <c r="AV269" s="653">
        <f t="shared" si="74"/>
        <v>0</v>
      </c>
      <c r="AW269" s="653">
        <f t="shared" si="74"/>
        <v>0</v>
      </c>
      <c r="AX269" s="653">
        <f t="shared" si="74"/>
        <v>0</v>
      </c>
      <c r="AY269" s="653">
        <f t="shared" si="74"/>
        <v>0</v>
      </c>
      <c r="AZ269" s="653"/>
      <c r="BA269" s="653"/>
      <c r="BB269" s="653" t="s">
        <v>2</v>
      </c>
      <c r="BC269" s="653"/>
      <c r="BD269" s="653">
        <f t="shared" ref="BD269:BM277" si="75">(IF($G40=BD$250,$L$241,0))</f>
        <v>0</v>
      </c>
      <c r="BE269" s="653">
        <f t="shared" si="75"/>
        <v>0</v>
      </c>
      <c r="BF269" s="653">
        <f t="shared" si="75"/>
        <v>0</v>
      </c>
      <c r="BG269" s="653">
        <f t="shared" si="75"/>
        <v>0</v>
      </c>
      <c r="BH269" s="653">
        <f t="shared" si="75"/>
        <v>0</v>
      </c>
      <c r="BI269" s="653">
        <f t="shared" si="75"/>
        <v>0</v>
      </c>
      <c r="BJ269" s="653">
        <f t="shared" si="75"/>
        <v>0</v>
      </c>
      <c r="BK269" s="653">
        <f t="shared" si="75"/>
        <v>0</v>
      </c>
      <c r="BL269" s="653">
        <f t="shared" si="75"/>
        <v>0</v>
      </c>
      <c r="BM269" s="653">
        <f t="shared" si="75"/>
        <v>0</v>
      </c>
      <c r="BN269" s="470"/>
      <c r="BO269" s="470"/>
      <c r="BP269" s="653">
        <f t="shared" si="70"/>
        <v>0</v>
      </c>
      <c r="BQ269" s="653">
        <f t="shared" si="70"/>
        <v>0</v>
      </c>
      <c r="BR269" s="653">
        <f t="shared" si="70"/>
        <v>0</v>
      </c>
      <c r="BS269" s="653">
        <f t="shared" si="70"/>
        <v>0</v>
      </c>
      <c r="BT269" s="653">
        <f t="shared" si="70"/>
        <v>0</v>
      </c>
      <c r="BU269" s="653">
        <f t="shared" si="70"/>
        <v>0</v>
      </c>
      <c r="BV269" s="653">
        <f t="shared" si="70"/>
        <v>0</v>
      </c>
      <c r="BW269" s="653">
        <f t="shared" si="70"/>
        <v>0</v>
      </c>
      <c r="BX269" s="653">
        <f t="shared" si="70"/>
        <v>0</v>
      </c>
      <c r="BY269" s="653">
        <f t="shared" si="69"/>
        <v>0</v>
      </c>
      <c r="BZ269" s="653">
        <f t="shared" si="69"/>
        <v>0</v>
      </c>
      <c r="CA269" s="653">
        <f t="shared" si="69"/>
        <v>0</v>
      </c>
      <c r="CB269" s="653">
        <f t="shared" si="69"/>
        <v>0</v>
      </c>
      <c r="CC269" s="653">
        <f t="shared" si="69"/>
        <v>0</v>
      </c>
      <c r="CD269" s="653">
        <f t="shared" si="69"/>
        <v>0</v>
      </c>
      <c r="CE269" s="653">
        <f t="shared" si="69"/>
        <v>0</v>
      </c>
      <c r="CF269" s="653">
        <f t="shared" si="69"/>
        <v>0</v>
      </c>
      <c r="CG269" s="653">
        <f t="shared" si="69"/>
        <v>0</v>
      </c>
      <c r="CH269" s="653">
        <f t="shared" si="69"/>
        <v>0</v>
      </c>
      <c r="CI269" s="653">
        <f t="shared" si="69"/>
        <v>0</v>
      </c>
      <c r="CJ269" s="653">
        <f t="shared" si="69"/>
        <v>0</v>
      </c>
      <c r="CK269" s="653"/>
      <c r="CL269" s="653"/>
      <c r="CM269" s="470"/>
      <c r="CN269" s="653">
        <f t="shared" ref="CN269:CP277" si="76">(IF($G40=CN$250,$L$244,0))</f>
        <v>0</v>
      </c>
      <c r="CO269" s="653">
        <f t="shared" si="76"/>
        <v>0</v>
      </c>
      <c r="CP269" s="653">
        <f t="shared" si="76"/>
        <v>0</v>
      </c>
      <c r="CQ269" s="470"/>
      <c r="CR269" s="470"/>
      <c r="CS269" s="653">
        <f t="shared" ref="CS269:CY277" si="77">(IF($G40=CS$250,$L$243,0))</f>
        <v>0</v>
      </c>
      <c r="CT269" s="653">
        <f t="shared" si="77"/>
        <v>0</v>
      </c>
      <c r="CU269" s="653">
        <f t="shared" si="77"/>
        <v>0</v>
      </c>
      <c r="CV269" s="653">
        <f t="shared" si="77"/>
        <v>0</v>
      </c>
      <c r="CW269" s="653">
        <f t="shared" si="77"/>
        <v>0</v>
      </c>
      <c r="CX269" s="653">
        <f t="shared" si="77"/>
        <v>0</v>
      </c>
      <c r="CY269" s="653">
        <f t="shared" si="77"/>
        <v>0</v>
      </c>
      <c r="CZ269" s="470"/>
      <c r="DA269" s="470"/>
      <c r="DB269" s="653">
        <f t="shared" si="72"/>
        <v>0</v>
      </c>
      <c r="DC269" s="653">
        <f t="shared" si="72"/>
        <v>0</v>
      </c>
      <c r="DD269" s="653">
        <f t="shared" si="72"/>
        <v>0</v>
      </c>
      <c r="DE269" s="653">
        <f t="shared" si="72"/>
        <v>0</v>
      </c>
      <c r="DF269" s="653">
        <f t="shared" si="72"/>
        <v>0</v>
      </c>
      <c r="DG269" s="653">
        <f t="shared" si="72"/>
        <v>0</v>
      </c>
      <c r="DH269" s="653">
        <f t="shared" si="72"/>
        <v>0</v>
      </c>
      <c r="DI269" s="653">
        <f t="shared" si="72"/>
        <v>0</v>
      </c>
      <c r="DJ269" s="653">
        <f t="shared" si="72"/>
        <v>0</v>
      </c>
      <c r="DK269" s="653">
        <f t="shared" si="72"/>
        <v>0</v>
      </c>
      <c r="DL269" s="653">
        <f t="shared" si="72"/>
        <v>0</v>
      </c>
      <c r="DM269" s="653">
        <f t="shared" si="71"/>
        <v>0</v>
      </c>
      <c r="DN269" s="653">
        <f t="shared" si="71"/>
        <v>0</v>
      </c>
      <c r="DO269" s="653">
        <f t="shared" si="71"/>
        <v>0</v>
      </c>
      <c r="DP269" s="653">
        <f t="shared" si="71"/>
        <v>0</v>
      </c>
      <c r="DQ269" s="653">
        <f t="shared" si="71"/>
        <v>0</v>
      </c>
      <c r="DR269" s="653">
        <f t="shared" si="71"/>
        <v>0</v>
      </c>
      <c r="DS269" s="653">
        <f t="shared" si="71"/>
        <v>0</v>
      </c>
      <c r="DT269" s="653">
        <f t="shared" si="71"/>
        <v>0</v>
      </c>
      <c r="DU269" s="653"/>
      <c r="DV269" s="653"/>
      <c r="DW269" s="470"/>
      <c r="DX269" s="470"/>
      <c r="DY269" s="474">
        <f t="shared" si="45"/>
        <v>0</v>
      </c>
      <c r="EA269" s="730">
        <f t="shared" si="46"/>
        <v>0</v>
      </c>
      <c r="EG269" s="731">
        <f t="shared" si="35"/>
        <v>9.9999999999999995E-8</v>
      </c>
      <c r="EH269" s="655">
        <f t="shared" si="47"/>
        <v>1500</v>
      </c>
      <c r="EI269" s="655">
        <f t="shared" si="48"/>
        <v>0</v>
      </c>
      <c r="EJ269" s="655">
        <f t="shared" si="49"/>
        <v>0</v>
      </c>
      <c r="EK269" s="655">
        <f t="shared" si="50"/>
        <v>0</v>
      </c>
      <c r="EL269" s="655">
        <f t="shared" si="51"/>
        <v>1500</v>
      </c>
      <c r="EM269" s="655"/>
      <c r="EN269" s="655">
        <f t="shared" si="52"/>
        <v>5000</v>
      </c>
      <c r="EO269" s="655">
        <f t="shared" si="53"/>
        <v>0</v>
      </c>
      <c r="EP269" s="655">
        <f t="shared" si="54"/>
        <v>5000</v>
      </c>
      <c r="EQ269" s="481"/>
      <c r="ER269" s="655">
        <f t="shared" si="55"/>
        <v>1500</v>
      </c>
      <c r="ES269" s="656">
        <f t="shared" si="56"/>
        <v>1500</v>
      </c>
      <c r="ET269" s="656">
        <f t="shared" si="57"/>
        <v>0</v>
      </c>
      <c r="EU269" s="656">
        <f t="shared" si="58"/>
        <v>0</v>
      </c>
      <c r="EV269" s="656">
        <f t="shared" si="59"/>
        <v>1500</v>
      </c>
      <c r="EW269" s="483">
        <f t="shared" si="60"/>
        <v>1500</v>
      </c>
      <c r="EX269" s="398">
        <f t="shared" si="61"/>
        <v>0</v>
      </c>
      <c r="EY269" s="285" t="str">
        <f t="shared" si="36"/>
        <v>X</v>
      </c>
      <c r="EZ269" s="628">
        <f t="shared" si="62"/>
        <v>0</v>
      </c>
      <c r="FA269" s="628">
        <f t="shared" si="63"/>
        <v>0</v>
      </c>
    </row>
    <row r="270" spans="1:157" ht="15" customHeight="1">
      <c r="A270" s="244">
        <f t="shared" si="37"/>
        <v>-0.05</v>
      </c>
      <c r="B270" s="637">
        <v>18</v>
      </c>
      <c r="C270" s="644">
        <f t="shared" si="38"/>
        <v>0</v>
      </c>
      <c r="D270" s="628">
        <f t="shared" si="23"/>
        <v>0</v>
      </c>
      <c r="E270" s="645">
        <f t="shared" si="64"/>
        <v>0</v>
      </c>
      <c r="F270" s="645">
        <f>([1]APPLICATION!AA38)+A270</f>
        <v>-0.05</v>
      </c>
      <c r="G270" s="645">
        <f t="shared" si="24"/>
        <v>0</v>
      </c>
      <c r="H270" s="445">
        <f t="shared" si="65"/>
        <v>0</v>
      </c>
      <c r="I270" s="646">
        <f t="shared" si="65"/>
        <v>-0.1</v>
      </c>
      <c r="J270" s="646">
        <f t="shared" si="25"/>
        <v>0</v>
      </c>
      <c r="K270" s="645">
        <f>IF([1]APPLICATION!S38="N",-0.2,0)</f>
        <v>0</v>
      </c>
      <c r="L270" s="645">
        <f t="shared" si="66"/>
        <v>0</v>
      </c>
      <c r="N270" s="645">
        <f t="shared" si="67"/>
        <v>0</v>
      </c>
      <c r="O270" s="645">
        <f t="shared" si="26"/>
        <v>0</v>
      </c>
      <c r="P270" s="645">
        <f t="shared" si="26"/>
        <v>0</v>
      </c>
      <c r="Q270" s="645">
        <f t="shared" si="27"/>
        <v>0</v>
      </c>
      <c r="R270" s="646">
        <f t="shared" si="39"/>
        <v>0</v>
      </c>
      <c r="S270" s="646">
        <f t="shared" si="68"/>
        <v>0</v>
      </c>
      <c r="T270" s="399"/>
      <c r="U270" s="662">
        <f t="shared" si="40"/>
        <v>0</v>
      </c>
      <c r="V270" s="637"/>
      <c r="W270" s="476">
        <f t="shared" si="41"/>
        <v>-0.15000000000000002</v>
      </c>
      <c r="Y270" s="475">
        <f t="shared" si="42"/>
        <v>0</v>
      </c>
      <c r="Z270" s="475">
        <f t="shared" si="43"/>
        <v>0</v>
      </c>
      <c r="AA270" s="395">
        <v>0</v>
      </c>
      <c r="AC270" s="729"/>
      <c r="AD270" s="396">
        <f t="shared" si="44"/>
        <v>0</v>
      </c>
      <c r="AE270" s="396"/>
      <c r="AF270" s="396"/>
      <c r="AH270" s="653">
        <f t="shared" si="73"/>
        <v>0</v>
      </c>
      <c r="AI270" s="653">
        <f t="shared" si="73"/>
        <v>0</v>
      </c>
      <c r="AJ270" s="653">
        <f t="shared" si="73"/>
        <v>0</v>
      </c>
      <c r="AK270" s="653">
        <f t="shared" si="73"/>
        <v>0</v>
      </c>
      <c r="AL270" s="653"/>
      <c r="AM270" s="653"/>
      <c r="AN270" s="653"/>
      <c r="AO270" s="653">
        <f t="shared" si="74"/>
        <v>0</v>
      </c>
      <c r="AP270" s="653">
        <f t="shared" si="74"/>
        <v>0</v>
      </c>
      <c r="AQ270" s="653">
        <f t="shared" si="74"/>
        <v>0</v>
      </c>
      <c r="AR270" s="653">
        <f t="shared" si="74"/>
        <v>0</v>
      </c>
      <c r="AS270" s="653">
        <f t="shared" si="74"/>
        <v>0</v>
      </c>
      <c r="AT270" s="653">
        <f t="shared" si="74"/>
        <v>0</v>
      </c>
      <c r="AU270" s="653">
        <f t="shared" si="74"/>
        <v>0</v>
      </c>
      <c r="AV270" s="653">
        <f t="shared" si="74"/>
        <v>0</v>
      </c>
      <c r="AW270" s="653">
        <f t="shared" si="74"/>
        <v>0</v>
      </c>
      <c r="AX270" s="653">
        <f t="shared" si="74"/>
        <v>0</v>
      </c>
      <c r="AY270" s="653">
        <f t="shared" si="74"/>
        <v>0</v>
      </c>
      <c r="AZ270" s="653"/>
      <c r="BA270" s="653"/>
      <c r="BB270" s="653" t="s">
        <v>2</v>
      </c>
      <c r="BC270" s="653"/>
      <c r="BD270" s="653">
        <f t="shared" si="75"/>
        <v>0</v>
      </c>
      <c r="BE270" s="653">
        <f t="shared" si="75"/>
        <v>0</v>
      </c>
      <c r="BF270" s="653">
        <f t="shared" si="75"/>
        <v>0</v>
      </c>
      <c r="BG270" s="653">
        <f t="shared" si="75"/>
        <v>0</v>
      </c>
      <c r="BH270" s="653">
        <f t="shared" si="75"/>
        <v>0</v>
      </c>
      <c r="BI270" s="653">
        <f t="shared" si="75"/>
        <v>0</v>
      </c>
      <c r="BJ270" s="653">
        <f t="shared" si="75"/>
        <v>0</v>
      </c>
      <c r="BK270" s="653">
        <f t="shared" si="75"/>
        <v>0</v>
      </c>
      <c r="BL270" s="653">
        <f t="shared" si="75"/>
        <v>0</v>
      </c>
      <c r="BM270" s="653">
        <f t="shared" si="75"/>
        <v>0</v>
      </c>
      <c r="BN270" s="470"/>
      <c r="BO270" s="470"/>
      <c r="BP270" s="653">
        <f t="shared" si="70"/>
        <v>0</v>
      </c>
      <c r="BQ270" s="653">
        <f t="shared" si="70"/>
        <v>0</v>
      </c>
      <c r="BR270" s="653">
        <f t="shared" si="70"/>
        <v>0</v>
      </c>
      <c r="BS270" s="653">
        <f t="shared" si="70"/>
        <v>0</v>
      </c>
      <c r="BT270" s="653">
        <f t="shared" si="70"/>
        <v>0</v>
      </c>
      <c r="BU270" s="653">
        <f t="shared" si="70"/>
        <v>0</v>
      </c>
      <c r="BV270" s="653">
        <f t="shared" si="70"/>
        <v>0</v>
      </c>
      <c r="BW270" s="653">
        <f t="shared" si="70"/>
        <v>0</v>
      </c>
      <c r="BX270" s="653">
        <f t="shared" si="70"/>
        <v>0</v>
      </c>
      <c r="BY270" s="653">
        <f t="shared" si="69"/>
        <v>0</v>
      </c>
      <c r="BZ270" s="653">
        <f t="shared" si="69"/>
        <v>0</v>
      </c>
      <c r="CA270" s="653">
        <f t="shared" si="69"/>
        <v>0</v>
      </c>
      <c r="CB270" s="653">
        <f t="shared" si="69"/>
        <v>0</v>
      </c>
      <c r="CC270" s="653">
        <f t="shared" si="69"/>
        <v>0</v>
      </c>
      <c r="CD270" s="653">
        <f t="shared" si="69"/>
        <v>0</v>
      </c>
      <c r="CE270" s="653">
        <f t="shared" si="69"/>
        <v>0</v>
      </c>
      <c r="CF270" s="653">
        <f t="shared" si="69"/>
        <v>0</v>
      </c>
      <c r="CG270" s="653">
        <f t="shared" si="69"/>
        <v>0</v>
      </c>
      <c r="CH270" s="653">
        <f t="shared" si="69"/>
        <v>0</v>
      </c>
      <c r="CI270" s="653">
        <f t="shared" si="69"/>
        <v>0</v>
      </c>
      <c r="CJ270" s="653">
        <f t="shared" si="69"/>
        <v>0</v>
      </c>
      <c r="CK270" s="653"/>
      <c r="CL270" s="653"/>
      <c r="CM270" s="470"/>
      <c r="CN270" s="653">
        <f t="shared" si="76"/>
        <v>0</v>
      </c>
      <c r="CO270" s="653">
        <f t="shared" si="76"/>
        <v>0</v>
      </c>
      <c r="CP270" s="653">
        <f t="shared" si="76"/>
        <v>0</v>
      </c>
      <c r="CQ270" s="470"/>
      <c r="CR270" s="470"/>
      <c r="CS270" s="653">
        <f t="shared" si="77"/>
        <v>0</v>
      </c>
      <c r="CT270" s="653">
        <f t="shared" si="77"/>
        <v>0</v>
      </c>
      <c r="CU270" s="653">
        <f t="shared" si="77"/>
        <v>0</v>
      </c>
      <c r="CV270" s="653">
        <f t="shared" si="77"/>
        <v>0</v>
      </c>
      <c r="CW270" s="653">
        <f t="shared" si="77"/>
        <v>0</v>
      </c>
      <c r="CX270" s="653">
        <f t="shared" si="77"/>
        <v>0</v>
      </c>
      <c r="CY270" s="653">
        <f t="shared" si="77"/>
        <v>0</v>
      </c>
      <c r="CZ270" s="470"/>
      <c r="DA270" s="470"/>
      <c r="DB270" s="653">
        <f t="shared" si="72"/>
        <v>0</v>
      </c>
      <c r="DC270" s="653">
        <f t="shared" si="72"/>
        <v>0</v>
      </c>
      <c r="DD270" s="653">
        <f t="shared" si="72"/>
        <v>0</v>
      </c>
      <c r="DE270" s="653">
        <f t="shared" si="72"/>
        <v>0</v>
      </c>
      <c r="DF270" s="653">
        <f t="shared" si="72"/>
        <v>0</v>
      </c>
      <c r="DG270" s="653">
        <f t="shared" si="72"/>
        <v>0</v>
      </c>
      <c r="DH270" s="653">
        <f t="shared" si="72"/>
        <v>0</v>
      </c>
      <c r="DI270" s="653">
        <f t="shared" si="72"/>
        <v>0</v>
      </c>
      <c r="DJ270" s="653">
        <f t="shared" si="72"/>
        <v>0</v>
      </c>
      <c r="DK270" s="653">
        <f t="shared" si="72"/>
        <v>0</v>
      </c>
      <c r="DL270" s="653">
        <f t="shared" si="72"/>
        <v>0</v>
      </c>
      <c r="DM270" s="653">
        <f t="shared" si="71"/>
        <v>0</v>
      </c>
      <c r="DN270" s="653">
        <f t="shared" si="71"/>
        <v>0</v>
      </c>
      <c r="DO270" s="653">
        <f t="shared" si="71"/>
        <v>0</v>
      </c>
      <c r="DP270" s="653">
        <f t="shared" si="71"/>
        <v>0</v>
      </c>
      <c r="DQ270" s="653">
        <f t="shared" si="71"/>
        <v>0</v>
      </c>
      <c r="DR270" s="653">
        <f t="shared" si="71"/>
        <v>0</v>
      </c>
      <c r="DS270" s="653">
        <f t="shared" si="71"/>
        <v>0</v>
      </c>
      <c r="DT270" s="653">
        <f t="shared" si="71"/>
        <v>0</v>
      </c>
      <c r="DU270" s="653"/>
      <c r="DV270" s="653"/>
      <c r="DW270" s="470"/>
      <c r="DX270" s="470"/>
      <c r="DY270" s="474">
        <f t="shared" si="45"/>
        <v>0</v>
      </c>
      <c r="EA270" s="730">
        <f t="shared" si="46"/>
        <v>0</v>
      </c>
      <c r="EG270" s="731">
        <f t="shared" si="35"/>
        <v>9.9999999999999995E-8</v>
      </c>
      <c r="EH270" s="655">
        <f t="shared" si="47"/>
        <v>1500</v>
      </c>
      <c r="EI270" s="655">
        <f t="shared" si="48"/>
        <v>0</v>
      </c>
      <c r="EJ270" s="655">
        <f t="shared" si="49"/>
        <v>0</v>
      </c>
      <c r="EK270" s="655">
        <f t="shared" si="50"/>
        <v>0</v>
      </c>
      <c r="EL270" s="655">
        <f t="shared" si="51"/>
        <v>1500</v>
      </c>
      <c r="EM270" s="655"/>
      <c r="EN270" s="655">
        <f t="shared" si="52"/>
        <v>5000</v>
      </c>
      <c r="EO270" s="655">
        <f t="shared" si="53"/>
        <v>0</v>
      </c>
      <c r="EP270" s="655">
        <f t="shared" si="54"/>
        <v>5000</v>
      </c>
      <c r="EQ270" s="481"/>
      <c r="ER270" s="655">
        <f t="shared" si="55"/>
        <v>1500</v>
      </c>
      <c r="ES270" s="656">
        <f t="shared" si="56"/>
        <v>1500</v>
      </c>
      <c r="ET270" s="656">
        <f t="shared" si="57"/>
        <v>0</v>
      </c>
      <c r="EU270" s="656">
        <f t="shared" si="58"/>
        <v>0</v>
      </c>
      <c r="EV270" s="656">
        <f t="shared" si="59"/>
        <v>1500</v>
      </c>
      <c r="EW270" s="483">
        <f t="shared" si="60"/>
        <v>1500</v>
      </c>
      <c r="EX270" s="398">
        <f t="shared" si="61"/>
        <v>0</v>
      </c>
      <c r="EY270" s="285" t="str">
        <f t="shared" si="36"/>
        <v>X</v>
      </c>
      <c r="EZ270" s="628">
        <f t="shared" si="62"/>
        <v>0</v>
      </c>
      <c r="FA270" s="628">
        <f t="shared" si="63"/>
        <v>0</v>
      </c>
    </row>
    <row r="271" spans="1:157" ht="15" customHeight="1">
      <c r="A271" s="244">
        <f t="shared" si="37"/>
        <v>-0.05</v>
      </c>
      <c r="B271" s="637">
        <v>19</v>
      </c>
      <c r="C271" s="644">
        <f t="shared" si="38"/>
        <v>0</v>
      </c>
      <c r="D271" s="628">
        <f t="shared" si="23"/>
        <v>0</v>
      </c>
      <c r="E271" s="645">
        <f t="shared" si="64"/>
        <v>0</v>
      </c>
      <c r="F271" s="645">
        <f>([1]APPLICATION!AA39)+A271</f>
        <v>-0.05</v>
      </c>
      <c r="G271" s="645">
        <f t="shared" si="24"/>
        <v>0</v>
      </c>
      <c r="H271" s="445">
        <f t="shared" ref="H271:I277" si="78">H270</f>
        <v>0</v>
      </c>
      <c r="I271" s="646">
        <f t="shared" si="78"/>
        <v>-0.1</v>
      </c>
      <c r="J271" s="646">
        <f t="shared" si="25"/>
        <v>0</v>
      </c>
      <c r="K271" s="645">
        <f>IF([1]APPLICATION!S39="N",-0.2,0)</f>
        <v>0</v>
      </c>
      <c r="L271" s="645">
        <f t="shared" si="66"/>
        <v>0</v>
      </c>
      <c r="N271" s="645">
        <f t="shared" si="67"/>
        <v>0</v>
      </c>
      <c r="O271" s="645">
        <f t="shared" si="26"/>
        <v>0</v>
      </c>
      <c r="P271" s="645">
        <f t="shared" si="26"/>
        <v>0</v>
      </c>
      <c r="Q271" s="645">
        <f t="shared" si="27"/>
        <v>0</v>
      </c>
      <c r="R271" s="646">
        <f t="shared" si="39"/>
        <v>0</v>
      </c>
      <c r="S271" s="646">
        <f t="shared" si="68"/>
        <v>0</v>
      </c>
      <c r="T271" s="399"/>
      <c r="U271" s="662">
        <f t="shared" si="40"/>
        <v>0</v>
      </c>
      <c r="V271" s="637"/>
      <c r="W271" s="476">
        <f t="shared" si="41"/>
        <v>-0.15000000000000002</v>
      </c>
      <c r="Y271" s="475">
        <f t="shared" si="42"/>
        <v>0</v>
      </c>
      <c r="Z271" s="475">
        <f t="shared" si="43"/>
        <v>0</v>
      </c>
      <c r="AA271" s="395">
        <v>0</v>
      </c>
      <c r="AC271" s="729"/>
      <c r="AD271" s="396">
        <f t="shared" si="44"/>
        <v>0</v>
      </c>
      <c r="AE271" s="396"/>
      <c r="AF271" s="396"/>
      <c r="AH271" s="653">
        <f t="shared" si="73"/>
        <v>0</v>
      </c>
      <c r="AI271" s="653">
        <f t="shared" si="73"/>
        <v>0</v>
      </c>
      <c r="AJ271" s="653">
        <f t="shared" si="73"/>
        <v>0</v>
      </c>
      <c r="AK271" s="653">
        <f t="shared" si="73"/>
        <v>0</v>
      </c>
      <c r="AL271" s="653"/>
      <c r="AM271" s="653"/>
      <c r="AN271" s="653"/>
      <c r="AO271" s="653">
        <f t="shared" si="74"/>
        <v>0</v>
      </c>
      <c r="AP271" s="653">
        <f t="shared" si="74"/>
        <v>0</v>
      </c>
      <c r="AQ271" s="653">
        <f t="shared" si="74"/>
        <v>0</v>
      </c>
      <c r="AR271" s="653">
        <f t="shared" si="74"/>
        <v>0</v>
      </c>
      <c r="AS271" s="653">
        <f t="shared" si="74"/>
        <v>0</v>
      </c>
      <c r="AT271" s="653">
        <f t="shared" si="74"/>
        <v>0</v>
      </c>
      <c r="AU271" s="653">
        <f t="shared" si="74"/>
        <v>0</v>
      </c>
      <c r="AV271" s="653">
        <f t="shared" si="74"/>
        <v>0</v>
      </c>
      <c r="AW271" s="653">
        <f t="shared" si="74"/>
        <v>0</v>
      </c>
      <c r="AX271" s="653">
        <f t="shared" si="74"/>
        <v>0</v>
      </c>
      <c r="AY271" s="653">
        <f t="shared" si="74"/>
        <v>0</v>
      </c>
      <c r="AZ271" s="653"/>
      <c r="BA271" s="653"/>
      <c r="BB271" s="653" t="s">
        <v>2</v>
      </c>
      <c r="BC271" s="653"/>
      <c r="BD271" s="653">
        <f t="shared" si="75"/>
        <v>0</v>
      </c>
      <c r="BE271" s="653">
        <f t="shared" si="75"/>
        <v>0</v>
      </c>
      <c r="BF271" s="653">
        <f t="shared" si="75"/>
        <v>0</v>
      </c>
      <c r="BG271" s="653">
        <f t="shared" si="75"/>
        <v>0</v>
      </c>
      <c r="BH271" s="653">
        <f t="shared" si="75"/>
        <v>0</v>
      </c>
      <c r="BI271" s="653">
        <f t="shared" si="75"/>
        <v>0</v>
      </c>
      <c r="BJ271" s="653">
        <f t="shared" si="75"/>
        <v>0</v>
      </c>
      <c r="BK271" s="653">
        <f t="shared" si="75"/>
        <v>0</v>
      </c>
      <c r="BL271" s="653">
        <f t="shared" si="75"/>
        <v>0</v>
      </c>
      <c r="BM271" s="653">
        <f t="shared" si="75"/>
        <v>0</v>
      </c>
      <c r="BN271" s="470"/>
      <c r="BO271" s="470"/>
      <c r="BP271" s="653">
        <f t="shared" si="70"/>
        <v>0</v>
      </c>
      <c r="BQ271" s="653">
        <f t="shared" si="70"/>
        <v>0</v>
      </c>
      <c r="BR271" s="653">
        <f t="shared" si="70"/>
        <v>0</v>
      </c>
      <c r="BS271" s="653">
        <f t="shared" si="70"/>
        <v>0</v>
      </c>
      <c r="BT271" s="653">
        <f t="shared" si="70"/>
        <v>0</v>
      </c>
      <c r="BU271" s="653">
        <f t="shared" si="70"/>
        <v>0</v>
      </c>
      <c r="BV271" s="653">
        <f t="shared" si="70"/>
        <v>0</v>
      </c>
      <c r="BW271" s="653">
        <f t="shared" si="70"/>
        <v>0</v>
      </c>
      <c r="BX271" s="653">
        <f t="shared" si="70"/>
        <v>0</v>
      </c>
      <c r="BY271" s="653">
        <f t="shared" si="69"/>
        <v>0</v>
      </c>
      <c r="BZ271" s="653">
        <f t="shared" si="69"/>
        <v>0</v>
      </c>
      <c r="CA271" s="653">
        <f t="shared" si="69"/>
        <v>0</v>
      </c>
      <c r="CB271" s="653">
        <f t="shared" si="69"/>
        <v>0</v>
      </c>
      <c r="CC271" s="653">
        <f t="shared" si="69"/>
        <v>0</v>
      </c>
      <c r="CD271" s="653">
        <f t="shared" si="69"/>
        <v>0</v>
      </c>
      <c r="CE271" s="653">
        <f t="shared" si="69"/>
        <v>0</v>
      </c>
      <c r="CF271" s="653">
        <f t="shared" si="69"/>
        <v>0</v>
      </c>
      <c r="CG271" s="653">
        <f t="shared" si="69"/>
        <v>0</v>
      </c>
      <c r="CH271" s="653">
        <f t="shared" si="69"/>
        <v>0</v>
      </c>
      <c r="CI271" s="653">
        <f t="shared" si="69"/>
        <v>0</v>
      </c>
      <c r="CJ271" s="653">
        <f t="shared" si="69"/>
        <v>0</v>
      </c>
      <c r="CK271" s="653"/>
      <c r="CL271" s="653"/>
      <c r="CM271" s="470"/>
      <c r="CN271" s="653">
        <f t="shared" si="76"/>
        <v>0</v>
      </c>
      <c r="CO271" s="653">
        <f t="shared" si="76"/>
        <v>0</v>
      </c>
      <c r="CP271" s="653">
        <f t="shared" si="76"/>
        <v>0</v>
      </c>
      <c r="CQ271" s="470"/>
      <c r="CR271" s="470"/>
      <c r="CS271" s="653">
        <f t="shared" si="77"/>
        <v>0</v>
      </c>
      <c r="CT271" s="653">
        <f t="shared" si="77"/>
        <v>0</v>
      </c>
      <c r="CU271" s="653">
        <f t="shared" si="77"/>
        <v>0</v>
      </c>
      <c r="CV271" s="653">
        <f t="shared" si="77"/>
        <v>0</v>
      </c>
      <c r="CW271" s="653">
        <f t="shared" si="77"/>
        <v>0</v>
      </c>
      <c r="CX271" s="653">
        <f t="shared" si="77"/>
        <v>0</v>
      </c>
      <c r="CY271" s="653">
        <f t="shared" si="77"/>
        <v>0</v>
      </c>
      <c r="CZ271" s="470"/>
      <c r="DA271" s="470"/>
      <c r="DB271" s="653">
        <f t="shared" si="72"/>
        <v>0</v>
      </c>
      <c r="DC271" s="653">
        <f t="shared" si="72"/>
        <v>0</v>
      </c>
      <c r="DD271" s="653">
        <f t="shared" si="72"/>
        <v>0</v>
      </c>
      <c r="DE271" s="653">
        <f t="shared" si="72"/>
        <v>0</v>
      </c>
      <c r="DF271" s="653">
        <f t="shared" si="72"/>
        <v>0</v>
      </c>
      <c r="DG271" s="653">
        <f t="shared" si="72"/>
        <v>0</v>
      </c>
      <c r="DH271" s="653">
        <f t="shared" si="72"/>
        <v>0</v>
      </c>
      <c r="DI271" s="653">
        <f t="shared" si="72"/>
        <v>0</v>
      </c>
      <c r="DJ271" s="653">
        <f t="shared" si="72"/>
        <v>0</v>
      </c>
      <c r="DK271" s="653">
        <f t="shared" si="72"/>
        <v>0</v>
      </c>
      <c r="DL271" s="653">
        <f t="shared" si="72"/>
        <v>0</v>
      </c>
      <c r="DM271" s="653">
        <f t="shared" si="71"/>
        <v>0</v>
      </c>
      <c r="DN271" s="653">
        <f t="shared" si="71"/>
        <v>0</v>
      </c>
      <c r="DO271" s="653">
        <f t="shared" si="71"/>
        <v>0</v>
      </c>
      <c r="DP271" s="653">
        <f t="shared" si="71"/>
        <v>0</v>
      </c>
      <c r="DQ271" s="653">
        <f t="shared" si="71"/>
        <v>0</v>
      </c>
      <c r="DR271" s="653">
        <f t="shared" si="71"/>
        <v>0</v>
      </c>
      <c r="DS271" s="653">
        <f t="shared" si="71"/>
        <v>0</v>
      </c>
      <c r="DT271" s="653">
        <f t="shared" si="71"/>
        <v>0</v>
      </c>
      <c r="DU271" s="653"/>
      <c r="DV271" s="653"/>
      <c r="DW271" s="470"/>
      <c r="DX271" s="470"/>
      <c r="DY271" s="474">
        <f t="shared" si="45"/>
        <v>0</v>
      </c>
      <c r="EA271" s="730">
        <f t="shared" si="46"/>
        <v>0</v>
      </c>
      <c r="EG271" s="731">
        <f t="shared" si="35"/>
        <v>9.9999999999999995E-8</v>
      </c>
      <c r="EH271" s="655">
        <f t="shared" si="47"/>
        <v>1500</v>
      </c>
      <c r="EI271" s="655">
        <f t="shared" si="48"/>
        <v>0</v>
      </c>
      <c r="EJ271" s="655">
        <f t="shared" si="49"/>
        <v>0</v>
      </c>
      <c r="EK271" s="655">
        <f t="shared" si="50"/>
        <v>0</v>
      </c>
      <c r="EL271" s="655">
        <f t="shared" si="51"/>
        <v>1500</v>
      </c>
      <c r="EM271" s="655"/>
      <c r="EN271" s="655">
        <f t="shared" si="52"/>
        <v>5000</v>
      </c>
      <c r="EO271" s="655">
        <f t="shared" si="53"/>
        <v>0</v>
      </c>
      <c r="EP271" s="655">
        <f t="shared" si="54"/>
        <v>5000</v>
      </c>
      <c r="EQ271" s="481"/>
      <c r="ER271" s="655">
        <f t="shared" si="55"/>
        <v>1500</v>
      </c>
      <c r="ES271" s="656">
        <f t="shared" si="56"/>
        <v>1500</v>
      </c>
      <c r="ET271" s="656">
        <f t="shared" si="57"/>
        <v>0</v>
      </c>
      <c r="EU271" s="656">
        <f t="shared" si="58"/>
        <v>0</v>
      </c>
      <c r="EV271" s="656">
        <f t="shared" si="59"/>
        <v>1500</v>
      </c>
      <c r="EW271" s="483">
        <f t="shared" si="60"/>
        <v>1500</v>
      </c>
      <c r="EX271" s="398">
        <f t="shared" si="61"/>
        <v>0</v>
      </c>
      <c r="EY271" s="285" t="str">
        <f t="shared" si="36"/>
        <v>X</v>
      </c>
      <c r="EZ271" s="628">
        <f t="shared" si="62"/>
        <v>0</v>
      </c>
      <c r="FA271" s="628">
        <f t="shared" si="63"/>
        <v>0</v>
      </c>
    </row>
    <row r="272" spans="1:157" ht="15" customHeight="1">
      <c r="A272" s="244">
        <f t="shared" si="37"/>
        <v>-0.05</v>
      </c>
      <c r="B272" s="637">
        <v>20</v>
      </c>
      <c r="C272" s="644">
        <f t="shared" si="38"/>
        <v>0</v>
      </c>
      <c r="D272" s="628">
        <f t="shared" si="23"/>
        <v>0</v>
      </c>
      <c r="E272" s="645">
        <f t="shared" si="64"/>
        <v>0</v>
      </c>
      <c r="F272" s="645">
        <f>([1]APPLICATION!AA40)+A272</f>
        <v>-0.05</v>
      </c>
      <c r="G272" s="645">
        <f t="shared" si="24"/>
        <v>0</v>
      </c>
      <c r="H272" s="445">
        <f t="shared" si="78"/>
        <v>0</v>
      </c>
      <c r="I272" s="646">
        <f t="shared" si="78"/>
        <v>-0.1</v>
      </c>
      <c r="J272" s="646">
        <f t="shared" si="25"/>
        <v>0</v>
      </c>
      <c r="K272" s="645">
        <f>IF([1]APPLICATION!S40="N",-0.2,0)</f>
        <v>0</v>
      </c>
      <c r="L272" s="645">
        <f t="shared" si="66"/>
        <v>0</v>
      </c>
      <c r="N272" s="645">
        <f t="shared" si="67"/>
        <v>0</v>
      </c>
      <c r="O272" s="645">
        <f t="shared" si="26"/>
        <v>0</v>
      </c>
      <c r="P272" s="645">
        <f t="shared" si="26"/>
        <v>0</v>
      </c>
      <c r="Q272" s="645">
        <f t="shared" si="27"/>
        <v>0</v>
      </c>
      <c r="R272" s="646">
        <f t="shared" si="39"/>
        <v>0</v>
      </c>
      <c r="S272" s="646">
        <f t="shared" si="68"/>
        <v>0</v>
      </c>
      <c r="T272" s="399"/>
      <c r="U272" s="662">
        <f t="shared" si="40"/>
        <v>0</v>
      </c>
      <c r="V272" s="637"/>
      <c r="W272" s="476">
        <f t="shared" si="41"/>
        <v>-0.15000000000000002</v>
      </c>
      <c r="Y272" s="475">
        <f t="shared" si="42"/>
        <v>0</v>
      </c>
      <c r="Z272" s="475">
        <f t="shared" si="43"/>
        <v>0</v>
      </c>
      <c r="AA272" s="395">
        <v>0</v>
      </c>
      <c r="AC272" s="729"/>
      <c r="AD272" s="396">
        <f t="shared" si="44"/>
        <v>0</v>
      </c>
      <c r="AE272" s="396"/>
      <c r="AF272" s="396"/>
      <c r="AH272" s="653">
        <f t="shared" si="73"/>
        <v>0</v>
      </c>
      <c r="AI272" s="653">
        <f t="shared" si="73"/>
        <v>0</v>
      </c>
      <c r="AJ272" s="653">
        <f t="shared" si="73"/>
        <v>0</v>
      </c>
      <c r="AK272" s="653">
        <f t="shared" si="73"/>
        <v>0</v>
      </c>
      <c r="AL272" s="653"/>
      <c r="AM272" s="653"/>
      <c r="AN272" s="653"/>
      <c r="AO272" s="653">
        <f t="shared" si="74"/>
        <v>0</v>
      </c>
      <c r="AP272" s="653">
        <f t="shared" si="74"/>
        <v>0</v>
      </c>
      <c r="AQ272" s="653">
        <f t="shared" si="74"/>
        <v>0</v>
      </c>
      <c r="AR272" s="653">
        <f t="shared" si="74"/>
        <v>0</v>
      </c>
      <c r="AS272" s="653">
        <f t="shared" si="74"/>
        <v>0</v>
      </c>
      <c r="AT272" s="653">
        <f t="shared" si="74"/>
        <v>0</v>
      </c>
      <c r="AU272" s="653">
        <f t="shared" si="74"/>
        <v>0</v>
      </c>
      <c r="AV272" s="653">
        <f t="shared" si="74"/>
        <v>0</v>
      </c>
      <c r="AW272" s="653">
        <f t="shared" si="74"/>
        <v>0</v>
      </c>
      <c r="AX272" s="653">
        <f t="shared" si="74"/>
        <v>0</v>
      </c>
      <c r="AY272" s="653">
        <f t="shared" si="74"/>
        <v>0</v>
      </c>
      <c r="AZ272" s="653"/>
      <c r="BA272" s="653"/>
      <c r="BB272" s="653" t="s">
        <v>2</v>
      </c>
      <c r="BC272" s="653"/>
      <c r="BD272" s="653">
        <f t="shared" si="75"/>
        <v>0</v>
      </c>
      <c r="BE272" s="653">
        <f t="shared" si="75"/>
        <v>0</v>
      </c>
      <c r="BF272" s="653">
        <f t="shared" si="75"/>
        <v>0</v>
      </c>
      <c r="BG272" s="653">
        <f t="shared" si="75"/>
        <v>0</v>
      </c>
      <c r="BH272" s="653">
        <f t="shared" si="75"/>
        <v>0</v>
      </c>
      <c r="BI272" s="653">
        <f t="shared" si="75"/>
        <v>0</v>
      </c>
      <c r="BJ272" s="653">
        <f t="shared" si="75"/>
        <v>0</v>
      </c>
      <c r="BK272" s="653">
        <f t="shared" si="75"/>
        <v>0</v>
      </c>
      <c r="BL272" s="653">
        <f t="shared" si="75"/>
        <v>0</v>
      </c>
      <c r="BM272" s="653">
        <f t="shared" si="75"/>
        <v>0</v>
      </c>
      <c r="BN272" s="470"/>
      <c r="BO272" s="470"/>
      <c r="BP272" s="653">
        <f t="shared" si="70"/>
        <v>0</v>
      </c>
      <c r="BQ272" s="653">
        <f t="shared" si="70"/>
        <v>0</v>
      </c>
      <c r="BR272" s="653">
        <f t="shared" si="70"/>
        <v>0</v>
      </c>
      <c r="BS272" s="653">
        <f t="shared" si="70"/>
        <v>0</v>
      </c>
      <c r="BT272" s="653">
        <f t="shared" si="70"/>
        <v>0</v>
      </c>
      <c r="BU272" s="653">
        <f t="shared" si="70"/>
        <v>0</v>
      </c>
      <c r="BV272" s="653">
        <f t="shared" si="70"/>
        <v>0</v>
      </c>
      <c r="BW272" s="653">
        <f t="shared" si="70"/>
        <v>0</v>
      </c>
      <c r="BX272" s="653">
        <f t="shared" si="70"/>
        <v>0</v>
      </c>
      <c r="BY272" s="653">
        <f t="shared" si="69"/>
        <v>0</v>
      </c>
      <c r="BZ272" s="653">
        <f t="shared" si="69"/>
        <v>0</v>
      </c>
      <c r="CA272" s="653">
        <f t="shared" si="69"/>
        <v>0</v>
      </c>
      <c r="CB272" s="653">
        <f t="shared" si="69"/>
        <v>0</v>
      </c>
      <c r="CC272" s="653">
        <f t="shared" si="69"/>
        <v>0</v>
      </c>
      <c r="CD272" s="653">
        <f t="shared" si="69"/>
        <v>0</v>
      </c>
      <c r="CE272" s="653">
        <f t="shared" si="69"/>
        <v>0</v>
      </c>
      <c r="CF272" s="653">
        <f t="shared" si="69"/>
        <v>0</v>
      </c>
      <c r="CG272" s="653">
        <f t="shared" si="69"/>
        <v>0</v>
      </c>
      <c r="CH272" s="653">
        <f t="shared" si="69"/>
        <v>0</v>
      </c>
      <c r="CI272" s="653">
        <f t="shared" si="69"/>
        <v>0</v>
      </c>
      <c r="CJ272" s="653">
        <f t="shared" si="69"/>
        <v>0</v>
      </c>
      <c r="CK272" s="653"/>
      <c r="CL272" s="653"/>
      <c r="CM272" s="470"/>
      <c r="CN272" s="653">
        <f t="shared" si="76"/>
        <v>0</v>
      </c>
      <c r="CO272" s="653">
        <f t="shared" si="76"/>
        <v>0</v>
      </c>
      <c r="CP272" s="653">
        <f t="shared" si="76"/>
        <v>0</v>
      </c>
      <c r="CQ272" s="470"/>
      <c r="CR272" s="470"/>
      <c r="CS272" s="653">
        <f t="shared" si="77"/>
        <v>0</v>
      </c>
      <c r="CT272" s="653">
        <f t="shared" si="77"/>
        <v>0</v>
      </c>
      <c r="CU272" s="653">
        <f t="shared" si="77"/>
        <v>0</v>
      </c>
      <c r="CV272" s="653">
        <f t="shared" si="77"/>
        <v>0</v>
      </c>
      <c r="CW272" s="653">
        <f t="shared" si="77"/>
        <v>0</v>
      </c>
      <c r="CX272" s="653">
        <f t="shared" si="77"/>
        <v>0</v>
      </c>
      <c r="CY272" s="653">
        <f t="shared" si="77"/>
        <v>0</v>
      </c>
      <c r="CZ272" s="470"/>
      <c r="DA272" s="470"/>
      <c r="DB272" s="653">
        <f t="shared" si="72"/>
        <v>0</v>
      </c>
      <c r="DC272" s="653">
        <f t="shared" si="72"/>
        <v>0</v>
      </c>
      <c r="DD272" s="653">
        <f t="shared" si="72"/>
        <v>0</v>
      </c>
      <c r="DE272" s="653">
        <f t="shared" si="72"/>
        <v>0</v>
      </c>
      <c r="DF272" s="653">
        <f t="shared" si="72"/>
        <v>0</v>
      </c>
      <c r="DG272" s="653">
        <f t="shared" si="72"/>
        <v>0</v>
      </c>
      <c r="DH272" s="653">
        <f t="shared" si="72"/>
        <v>0</v>
      </c>
      <c r="DI272" s="653">
        <f t="shared" si="72"/>
        <v>0</v>
      </c>
      <c r="DJ272" s="653">
        <f t="shared" si="72"/>
        <v>0</v>
      </c>
      <c r="DK272" s="653">
        <f t="shared" si="72"/>
        <v>0</v>
      </c>
      <c r="DL272" s="653">
        <f t="shared" si="72"/>
        <v>0</v>
      </c>
      <c r="DM272" s="653">
        <f t="shared" si="71"/>
        <v>0</v>
      </c>
      <c r="DN272" s="653">
        <f t="shared" si="71"/>
        <v>0</v>
      </c>
      <c r="DO272" s="653">
        <f t="shared" si="71"/>
        <v>0</v>
      </c>
      <c r="DP272" s="653">
        <f t="shared" si="71"/>
        <v>0</v>
      </c>
      <c r="DQ272" s="653">
        <f t="shared" si="71"/>
        <v>0</v>
      </c>
      <c r="DR272" s="653">
        <f t="shared" si="71"/>
        <v>0</v>
      </c>
      <c r="DS272" s="653">
        <f t="shared" si="71"/>
        <v>0</v>
      </c>
      <c r="DT272" s="653">
        <f t="shared" si="71"/>
        <v>0</v>
      </c>
      <c r="DU272" s="653"/>
      <c r="DV272" s="653"/>
      <c r="DW272" s="470"/>
      <c r="DX272" s="470"/>
      <c r="DY272" s="474">
        <f t="shared" si="45"/>
        <v>0</v>
      </c>
      <c r="EA272" s="730">
        <f t="shared" si="46"/>
        <v>0</v>
      </c>
      <c r="EG272" s="731">
        <f t="shared" si="35"/>
        <v>9.9999999999999995E-8</v>
      </c>
      <c r="EH272" s="655">
        <f t="shared" si="47"/>
        <v>1500</v>
      </c>
      <c r="EI272" s="655">
        <f t="shared" si="48"/>
        <v>0</v>
      </c>
      <c r="EJ272" s="655">
        <f t="shared" si="49"/>
        <v>0</v>
      </c>
      <c r="EK272" s="655">
        <f t="shared" si="50"/>
        <v>0</v>
      </c>
      <c r="EL272" s="655">
        <f t="shared" si="51"/>
        <v>1500</v>
      </c>
      <c r="EM272" s="655"/>
      <c r="EN272" s="655">
        <f t="shared" si="52"/>
        <v>5000</v>
      </c>
      <c r="EO272" s="655">
        <f t="shared" si="53"/>
        <v>0</v>
      </c>
      <c r="EP272" s="655">
        <f t="shared" si="54"/>
        <v>5000</v>
      </c>
      <c r="EQ272" s="481"/>
      <c r="ER272" s="655">
        <f t="shared" si="55"/>
        <v>1500</v>
      </c>
      <c r="ES272" s="656">
        <f t="shared" si="56"/>
        <v>1500</v>
      </c>
      <c r="ET272" s="656">
        <f t="shared" si="57"/>
        <v>0</v>
      </c>
      <c r="EU272" s="656">
        <f t="shared" si="58"/>
        <v>0</v>
      </c>
      <c r="EV272" s="656">
        <f t="shared" si="59"/>
        <v>1500</v>
      </c>
      <c r="EW272" s="483">
        <f t="shared" si="60"/>
        <v>1500</v>
      </c>
      <c r="EX272" s="398">
        <f t="shared" si="61"/>
        <v>0</v>
      </c>
      <c r="EY272" s="285" t="str">
        <f t="shared" si="36"/>
        <v>X</v>
      </c>
      <c r="EZ272" s="628">
        <f t="shared" si="62"/>
        <v>0</v>
      </c>
      <c r="FA272" s="628">
        <f t="shared" si="63"/>
        <v>0</v>
      </c>
    </row>
    <row r="273" spans="1:157" ht="15" customHeight="1">
      <c r="A273" s="244">
        <f t="shared" si="37"/>
        <v>-0.05</v>
      </c>
      <c r="B273" s="637">
        <v>21</v>
      </c>
      <c r="C273" s="644">
        <f t="shared" si="38"/>
        <v>0</v>
      </c>
      <c r="D273" s="628">
        <f t="shared" si="23"/>
        <v>0</v>
      </c>
      <c r="E273" s="645">
        <f t="shared" si="64"/>
        <v>0</v>
      </c>
      <c r="F273" s="645">
        <f>([1]APPLICATION!AA41)+A273</f>
        <v>-0.05</v>
      </c>
      <c r="G273" s="645">
        <f t="shared" si="24"/>
        <v>0</v>
      </c>
      <c r="H273" s="445">
        <f t="shared" si="78"/>
        <v>0</v>
      </c>
      <c r="I273" s="646">
        <f t="shared" si="78"/>
        <v>-0.1</v>
      </c>
      <c r="J273" s="646">
        <f t="shared" si="25"/>
        <v>0</v>
      </c>
      <c r="K273" s="645">
        <f>IF([1]APPLICATION!S41="N",-0.2,0)</f>
        <v>0</v>
      </c>
      <c r="L273" s="645">
        <f t="shared" si="66"/>
        <v>0</v>
      </c>
      <c r="N273" s="645">
        <f t="shared" si="67"/>
        <v>0</v>
      </c>
      <c r="O273" s="645">
        <f t="shared" si="26"/>
        <v>0</v>
      </c>
      <c r="P273" s="645">
        <f t="shared" si="26"/>
        <v>0</v>
      </c>
      <c r="Q273" s="645">
        <f t="shared" si="27"/>
        <v>0</v>
      </c>
      <c r="R273" s="646">
        <f t="shared" si="39"/>
        <v>0</v>
      </c>
      <c r="S273" s="646">
        <f t="shared" si="68"/>
        <v>0</v>
      </c>
      <c r="T273" s="399"/>
      <c r="U273" s="662">
        <f t="shared" si="40"/>
        <v>0</v>
      </c>
      <c r="V273" s="637"/>
      <c r="W273" s="476">
        <f t="shared" si="41"/>
        <v>-0.15000000000000002</v>
      </c>
      <c r="Y273" s="475">
        <f t="shared" si="42"/>
        <v>0</v>
      </c>
      <c r="Z273" s="475">
        <f t="shared" si="43"/>
        <v>0</v>
      </c>
      <c r="AA273" s="395">
        <v>0</v>
      </c>
      <c r="AC273" s="729"/>
      <c r="AD273" s="396">
        <f t="shared" si="44"/>
        <v>0</v>
      </c>
      <c r="AE273" s="396"/>
      <c r="AF273" s="396"/>
      <c r="AH273" s="653">
        <f t="shared" si="73"/>
        <v>0</v>
      </c>
      <c r="AI273" s="653">
        <f t="shared" si="73"/>
        <v>0</v>
      </c>
      <c r="AJ273" s="653">
        <f t="shared" si="73"/>
        <v>0</v>
      </c>
      <c r="AK273" s="653">
        <f t="shared" si="73"/>
        <v>0</v>
      </c>
      <c r="AL273" s="653"/>
      <c r="AM273" s="653"/>
      <c r="AN273" s="653"/>
      <c r="AO273" s="653">
        <f t="shared" si="74"/>
        <v>0</v>
      </c>
      <c r="AP273" s="653">
        <f t="shared" si="74"/>
        <v>0</v>
      </c>
      <c r="AQ273" s="653">
        <f t="shared" si="74"/>
        <v>0</v>
      </c>
      <c r="AR273" s="653">
        <f t="shared" si="74"/>
        <v>0</v>
      </c>
      <c r="AS273" s="653">
        <f t="shared" si="74"/>
        <v>0</v>
      </c>
      <c r="AT273" s="653">
        <f t="shared" si="74"/>
        <v>0</v>
      </c>
      <c r="AU273" s="653">
        <f t="shared" si="74"/>
        <v>0</v>
      </c>
      <c r="AV273" s="653">
        <f t="shared" si="74"/>
        <v>0</v>
      </c>
      <c r="AW273" s="653">
        <f t="shared" si="74"/>
        <v>0</v>
      </c>
      <c r="AX273" s="653">
        <f t="shared" si="74"/>
        <v>0</v>
      </c>
      <c r="AY273" s="653">
        <f t="shared" si="74"/>
        <v>0</v>
      </c>
      <c r="AZ273" s="653"/>
      <c r="BA273" s="653"/>
      <c r="BB273" s="653" t="s">
        <v>2</v>
      </c>
      <c r="BC273" s="653"/>
      <c r="BD273" s="653">
        <f t="shared" si="75"/>
        <v>0</v>
      </c>
      <c r="BE273" s="653">
        <f t="shared" si="75"/>
        <v>0</v>
      </c>
      <c r="BF273" s="653">
        <f t="shared" si="75"/>
        <v>0</v>
      </c>
      <c r="BG273" s="653">
        <f t="shared" si="75"/>
        <v>0</v>
      </c>
      <c r="BH273" s="653">
        <f t="shared" si="75"/>
        <v>0</v>
      </c>
      <c r="BI273" s="653">
        <f t="shared" si="75"/>
        <v>0</v>
      </c>
      <c r="BJ273" s="653">
        <f t="shared" si="75"/>
        <v>0</v>
      </c>
      <c r="BK273" s="653">
        <f t="shared" si="75"/>
        <v>0</v>
      </c>
      <c r="BL273" s="653">
        <f t="shared" si="75"/>
        <v>0</v>
      </c>
      <c r="BM273" s="653">
        <f t="shared" si="75"/>
        <v>0</v>
      </c>
      <c r="BN273" s="470"/>
      <c r="BO273" s="470"/>
      <c r="BP273" s="653">
        <f t="shared" si="70"/>
        <v>0</v>
      </c>
      <c r="BQ273" s="653">
        <f t="shared" si="70"/>
        <v>0</v>
      </c>
      <c r="BR273" s="653">
        <f t="shared" si="70"/>
        <v>0</v>
      </c>
      <c r="BS273" s="653">
        <f t="shared" si="70"/>
        <v>0</v>
      </c>
      <c r="BT273" s="653">
        <f t="shared" si="70"/>
        <v>0</v>
      </c>
      <c r="BU273" s="653">
        <f t="shared" si="70"/>
        <v>0</v>
      </c>
      <c r="BV273" s="653">
        <f t="shared" si="70"/>
        <v>0</v>
      </c>
      <c r="BW273" s="653">
        <f t="shared" si="70"/>
        <v>0</v>
      </c>
      <c r="BX273" s="653">
        <f t="shared" si="70"/>
        <v>0</v>
      </c>
      <c r="BY273" s="653">
        <f t="shared" si="69"/>
        <v>0</v>
      </c>
      <c r="BZ273" s="653">
        <f t="shared" si="69"/>
        <v>0</v>
      </c>
      <c r="CA273" s="653">
        <f t="shared" si="69"/>
        <v>0</v>
      </c>
      <c r="CB273" s="653">
        <f t="shared" si="69"/>
        <v>0</v>
      </c>
      <c r="CC273" s="653">
        <f t="shared" si="69"/>
        <v>0</v>
      </c>
      <c r="CD273" s="653">
        <f t="shared" si="69"/>
        <v>0</v>
      </c>
      <c r="CE273" s="653">
        <f t="shared" si="69"/>
        <v>0</v>
      </c>
      <c r="CF273" s="653">
        <f t="shared" si="69"/>
        <v>0</v>
      </c>
      <c r="CG273" s="653">
        <f t="shared" si="69"/>
        <v>0</v>
      </c>
      <c r="CH273" s="653">
        <f t="shared" si="69"/>
        <v>0</v>
      </c>
      <c r="CI273" s="653">
        <f t="shared" si="69"/>
        <v>0</v>
      </c>
      <c r="CJ273" s="653">
        <f t="shared" si="69"/>
        <v>0</v>
      </c>
      <c r="CK273" s="653"/>
      <c r="CL273" s="653"/>
      <c r="CM273" s="470"/>
      <c r="CN273" s="653">
        <f t="shared" si="76"/>
        <v>0</v>
      </c>
      <c r="CO273" s="653">
        <f t="shared" si="76"/>
        <v>0</v>
      </c>
      <c r="CP273" s="653">
        <f t="shared" si="76"/>
        <v>0</v>
      </c>
      <c r="CQ273" s="470"/>
      <c r="CR273" s="470"/>
      <c r="CS273" s="653">
        <f t="shared" si="77"/>
        <v>0</v>
      </c>
      <c r="CT273" s="653">
        <f t="shared" si="77"/>
        <v>0</v>
      </c>
      <c r="CU273" s="653">
        <f t="shared" si="77"/>
        <v>0</v>
      </c>
      <c r="CV273" s="653">
        <f t="shared" si="77"/>
        <v>0</v>
      </c>
      <c r="CW273" s="653">
        <f t="shared" si="77"/>
        <v>0</v>
      </c>
      <c r="CX273" s="653">
        <f t="shared" si="77"/>
        <v>0</v>
      </c>
      <c r="CY273" s="653">
        <f t="shared" si="77"/>
        <v>0</v>
      </c>
      <c r="CZ273" s="470"/>
      <c r="DA273" s="470"/>
      <c r="DB273" s="653">
        <f t="shared" si="72"/>
        <v>0</v>
      </c>
      <c r="DC273" s="653">
        <f t="shared" si="72"/>
        <v>0</v>
      </c>
      <c r="DD273" s="653">
        <f t="shared" si="72"/>
        <v>0</v>
      </c>
      <c r="DE273" s="653">
        <f t="shared" si="72"/>
        <v>0</v>
      </c>
      <c r="DF273" s="653">
        <f t="shared" si="72"/>
        <v>0</v>
      </c>
      <c r="DG273" s="653">
        <f t="shared" si="72"/>
        <v>0</v>
      </c>
      <c r="DH273" s="653">
        <f t="shared" si="72"/>
        <v>0</v>
      </c>
      <c r="DI273" s="653">
        <f t="shared" si="72"/>
        <v>0</v>
      </c>
      <c r="DJ273" s="653">
        <f t="shared" si="72"/>
        <v>0</v>
      </c>
      <c r="DK273" s="653">
        <f t="shared" si="72"/>
        <v>0</v>
      </c>
      <c r="DL273" s="653">
        <f t="shared" si="72"/>
        <v>0</v>
      </c>
      <c r="DM273" s="653">
        <f t="shared" si="71"/>
        <v>0</v>
      </c>
      <c r="DN273" s="653">
        <f t="shared" si="71"/>
        <v>0</v>
      </c>
      <c r="DO273" s="653">
        <f t="shared" si="71"/>
        <v>0</v>
      </c>
      <c r="DP273" s="653">
        <f t="shared" si="71"/>
        <v>0</v>
      </c>
      <c r="DQ273" s="653">
        <f t="shared" si="71"/>
        <v>0</v>
      </c>
      <c r="DR273" s="653">
        <f t="shared" si="71"/>
        <v>0</v>
      </c>
      <c r="DS273" s="653">
        <f t="shared" si="71"/>
        <v>0</v>
      </c>
      <c r="DT273" s="653">
        <f t="shared" si="71"/>
        <v>0</v>
      </c>
      <c r="DU273" s="653"/>
      <c r="DV273" s="653"/>
      <c r="DW273" s="470"/>
      <c r="DX273" s="470"/>
      <c r="DY273" s="474">
        <f t="shared" si="45"/>
        <v>0</v>
      </c>
      <c r="EA273" s="730">
        <f t="shared" si="46"/>
        <v>0</v>
      </c>
      <c r="EG273" s="731">
        <f t="shared" si="35"/>
        <v>9.9999999999999995E-8</v>
      </c>
      <c r="EH273" s="655">
        <f t="shared" si="47"/>
        <v>1500</v>
      </c>
      <c r="EI273" s="655">
        <f t="shared" si="48"/>
        <v>0</v>
      </c>
      <c r="EJ273" s="655">
        <f t="shared" si="49"/>
        <v>0</v>
      </c>
      <c r="EK273" s="655">
        <f t="shared" si="50"/>
        <v>0</v>
      </c>
      <c r="EL273" s="655">
        <f t="shared" si="51"/>
        <v>1500</v>
      </c>
      <c r="EM273" s="655"/>
      <c r="EN273" s="655">
        <f t="shared" si="52"/>
        <v>5000</v>
      </c>
      <c r="EO273" s="655">
        <f t="shared" si="53"/>
        <v>0</v>
      </c>
      <c r="EP273" s="655">
        <f t="shared" si="54"/>
        <v>5000</v>
      </c>
      <c r="EQ273" s="481"/>
      <c r="ER273" s="655">
        <f t="shared" si="55"/>
        <v>1500</v>
      </c>
      <c r="ES273" s="656">
        <f t="shared" si="56"/>
        <v>1500</v>
      </c>
      <c r="ET273" s="656">
        <f t="shared" si="57"/>
        <v>0</v>
      </c>
      <c r="EU273" s="656">
        <f t="shared" si="58"/>
        <v>0</v>
      </c>
      <c r="EV273" s="656">
        <f t="shared" si="59"/>
        <v>1500</v>
      </c>
      <c r="EW273" s="483">
        <f t="shared" si="60"/>
        <v>1500</v>
      </c>
      <c r="EX273" s="398">
        <f t="shared" si="61"/>
        <v>0</v>
      </c>
      <c r="EY273" s="285" t="str">
        <f t="shared" si="36"/>
        <v>X</v>
      </c>
      <c r="EZ273" s="628">
        <f t="shared" si="62"/>
        <v>0</v>
      </c>
      <c r="FA273" s="628">
        <f t="shared" si="63"/>
        <v>0</v>
      </c>
    </row>
    <row r="274" spans="1:157" ht="15" customHeight="1">
      <c r="A274" s="244">
        <f t="shared" si="37"/>
        <v>-0.05</v>
      </c>
      <c r="B274" s="637">
        <v>22</v>
      </c>
      <c r="C274" s="644">
        <f t="shared" si="38"/>
        <v>0</v>
      </c>
      <c r="D274" s="628">
        <f t="shared" si="23"/>
        <v>0</v>
      </c>
      <c r="E274" s="645">
        <f t="shared" si="64"/>
        <v>0</v>
      </c>
      <c r="F274" s="645">
        <f>([1]APPLICATION!AA42)+A274</f>
        <v>-0.05</v>
      </c>
      <c r="G274" s="645">
        <f t="shared" si="24"/>
        <v>0</v>
      </c>
      <c r="H274" s="445">
        <f t="shared" si="78"/>
        <v>0</v>
      </c>
      <c r="I274" s="646">
        <f t="shared" si="78"/>
        <v>-0.1</v>
      </c>
      <c r="J274" s="646">
        <f t="shared" si="25"/>
        <v>0</v>
      </c>
      <c r="K274" s="645">
        <f>IF([1]APPLICATION!S42="N",-0.2,0)</f>
        <v>0</v>
      </c>
      <c r="L274" s="645">
        <f t="shared" si="66"/>
        <v>0</v>
      </c>
      <c r="N274" s="645">
        <f t="shared" si="67"/>
        <v>0</v>
      </c>
      <c r="O274" s="645">
        <f t="shared" si="26"/>
        <v>0</v>
      </c>
      <c r="P274" s="645">
        <f t="shared" si="26"/>
        <v>0</v>
      </c>
      <c r="Q274" s="645">
        <f t="shared" si="27"/>
        <v>0</v>
      </c>
      <c r="R274" s="646">
        <f t="shared" si="39"/>
        <v>0</v>
      </c>
      <c r="S274" s="646">
        <f t="shared" si="68"/>
        <v>0</v>
      </c>
      <c r="T274" s="399"/>
      <c r="U274" s="662">
        <f t="shared" si="40"/>
        <v>0</v>
      </c>
      <c r="V274" s="637"/>
      <c r="W274" s="476">
        <f t="shared" si="41"/>
        <v>-0.15000000000000002</v>
      </c>
      <c r="Y274" s="475">
        <f t="shared" si="42"/>
        <v>0</v>
      </c>
      <c r="Z274" s="475">
        <f t="shared" si="43"/>
        <v>0</v>
      </c>
      <c r="AA274" s="395">
        <v>0</v>
      </c>
      <c r="AC274" s="729"/>
      <c r="AD274" s="396">
        <f t="shared" si="44"/>
        <v>0</v>
      </c>
      <c r="AE274" s="396"/>
      <c r="AF274" s="396"/>
      <c r="AH274" s="653">
        <f t="shared" si="73"/>
        <v>0</v>
      </c>
      <c r="AI274" s="653">
        <f t="shared" si="73"/>
        <v>0</v>
      </c>
      <c r="AJ274" s="653">
        <f t="shared" si="73"/>
        <v>0</v>
      </c>
      <c r="AK274" s="653">
        <f t="shared" si="73"/>
        <v>0</v>
      </c>
      <c r="AL274" s="653"/>
      <c r="AM274" s="653"/>
      <c r="AN274" s="653"/>
      <c r="AO274" s="653">
        <f t="shared" si="74"/>
        <v>0</v>
      </c>
      <c r="AP274" s="653">
        <f t="shared" si="74"/>
        <v>0</v>
      </c>
      <c r="AQ274" s="653">
        <f t="shared" si="74"/>
        <v>0</v>
      </c>
      <c r="AR274" s="653">
        <f t="shared" si="74"/>
        <v>0</v>
      </c>
      <c r="AS274" s="653">
        <f t="shared" si="74"/>
        <v>0</v>
      </c>
      <c r="AT274" s="653">
        <f t="shared" si="74"/>
        <v>0</v>
      </c>
      <c r="AU274" s="653">
        <f t="shared" si="74"/>
        <v>0</v>
      </c>
      <c r="AV274" s="653">
        <f t="shared" si="74"/>
        <v>0</v>
      </c>
      <c r="AW274" s="653">
        <f t="shared" si="74"/>
        <v>0</v>
      </c>
      <c r="AX274" s="653">
        <f t="shared" si="74"/>
        <v>0</v>
      </c>
      <c r="AY274" s="653">
        <f t="shared" si="74"/>
        <v>0</v>
      </c>
      <c r="AZ274" s="653"/>
      <c r="BA274" s="653"/>
      <c r="BB274" s="653" t="s">
        <v>2</v>
      </c>
      <c r="BC274" s="653"/>
      <c r="BD274" s="653">
        <f t="shared" si="75"/>
        <v>0</v>
      </c>
      <c r="BE274" s="653">
        <f t="shared" si="75"/>
        <v>0</v>
      </c>
      <c r="BF274" s="653">
        <f t="shared" si="75"/>
        <v>0</v>
      </c>
      <c r="BG274" s="653">
        <f t="shared" si="75"/>
        <v>0</v>
      </c>
      <c r="BH274" s="653">
        <f t="shared" si="75"/>
        <v>0</v>
      </c>
      <c r="BI274" s="653">
        <f t="shared" si="75"/>
        <v>0</v>
      </c>
      <c r="BJ274" s="653">
        <f t="shared" si="75"/>
        <v>0</v>
      </c>
      <c r="BK274" s="653">
        <f t="shared" si="75"/>
        <v>0</v>
      </c>
      <c r="BL274" s="653">
        <f t="shared" si="75"/>
        <v>0</v>
      </c>
      <c r="BM274" s="653">
        <f t="shared" si="75"/>
        <v>0</v>
      </c>
      <c r="BN274" s="470"/>
      <c r="BO274" s="470"/>
      <c r="BP274" s="653">
        <f t="shared" si="70"/>
        <v>0</v>
      </c>
      <c r="BQ274" s="653">
        <f t="shared" si="70"/>
        <v>0</v>
      </c>
      <c r="BR274" s="653">
        <f t="shared" si="70"/>
        <v>0</v>
      </c>
      <c r="BS274" s="653">
        <f t="shared" si="70"/>
        <v>0</v>
      </c>
      <c r="BT274" s="653">
        <f t="shared" si="70"/>
        <v>0</v>
      </c>
      <c r="BU274" s="653">
        <f t="shared" si="70"/>
        <v>0</v>
      </c>
      <c r="BV274" s="653">
        <f t="shared" si="70"/>
        <v>0</v>
      </c>
      <c r="BW274" s="653">
        <f t="shared" si="70"/>
        <v>0</v>
      </c>
      <c r="BX274" s="653">
        <f t="shared" si="70"/>
        <v>0</v>
      </c>
      <c r="BY274" s="653">
        <f t="shared" si="69"/>
        <v>0</v>
      </c>
      <c r="BZ274" s="653">
        <f t="shared" si="69"/>
        <v>0</v>
      </c>
      <c r="CA274" s="653">
        <f t="shared" si="69"/>
        <v>0</v>
      </c>
      <c r="CB274" s="653">
        <f t="shared" si="69"/>
        <v>0</v>
      </c>
      <c r="CC274" s="653">
        <f t="shared" si="69"/>
        <v>0</v>
      </c>
      <c r="CD274" s="653">
        <f t="shared" si="69"/>
        <v>0</v>
      </c>
      <c r="CE274" s="653">
        <f t="shared" si="69"/>
        <v>0</v>
      </c>
      <c r="CF274" s="653">
        <f t="shared" si="69"/>
        <v>0</v>
      </c>
      <c r="CG274" s="653">
        <f t="shared" si="69"/>
        <v>0</v>
      </c>
      <c r="CH274" s="653">
        <f t="shared" si="69"/>
        <v>0</v>
      </c>
      <c r="CI274" s="653">
        <f t="shared" si="69"/>
        <v>0</v>
      </c>
      <c r="CJ274" s="653">
        <f t="shared" si="69"/>
        <v>0</v>
      </c>
      <c r="CK274" s="653"/>
      <c r="CL274" s="653"/>
      <c r="CM274" s="470"/>
      <c r="CN274" s="653">
        <f t="shared" si="76"/>
        <v>0</v>
      </c>
      <c r="CO274" s="653">
        <f t="shared" si="76"/>
        <v>0</v>
      </c>
      <c r="CP274" s="653">
        <f t="shared" si="76"/>
        <v>0</v>
      </c>
      <c r="CQ274" s="470"/>
      <c r="CR274" s="470"/>
      <c r="CS274" s="653">
        <f t="shared" si="77"/>
        <v>0</v>
      </c>
      <c r="CT274" s="653">
        <f t="shared" si="77"/>
        <v>0</v>
      </c>
      <c r="CU274" s="653">
        <f t="shared" si="77"/>
        <v>0</v>
      </c>
      <c r="CV274" s="653">
        <f t="shared" si="77"/>
        <v>0</v>
      </c>
      <c r="CW274" s="653">
        <f t="shared" si="77"/>
        <v>0</v>
      </c>
      <c r="CX274" s="653">
        <f t="shared" si="77"/>
        <v>0</v>
      </c>
      <c r="CY274" s="653">
        <f t="shared" si="77"/>
        <v>0</v>
      </c>
      <c r="CZ274" s="470"/>
      <c r="DA274" s="470"/>
      <c r="DB274" s="653">
        <f t="shared" si="72"/>
        <v>0</v>
      </c>
      <c r="DC274" s="653">
        <f t="shared" si="72"/>
        <v>0</v>
      </c>
      <c r="DD274" s="653">
        <f t="shared" si="72"/>
        <v>0</v>
      </c>
      <c r="DE274" s="653">
        <f t="shared" si="72"/>
        <v>0</v>
      </c>
      <c r="DF274" s="653">
        <f t="shared" si="72"/>
        <v>0</v>
      </c>
      <c r="DG274" s="653">
        <f t="shared" si="72"/>
        <v>0</v>
      </c>
      <c r="DH274" s="653">
        <f t="shared" si="72"/>
        <v>0</v>
      </c>
      <c r="DI274" s="653">
        <f t="shared" si="72"/>
        <v>0</v>
      </c>
      <c r="DJ274" s="653">
        <f t="shared" si="72"/>
        <v>0</v>
      </c>
      <c r="DK274" s="653">
        <f t="shared" si="72"/>
        <v>0</v>
      </c>
      <c r="DL274" s="653">
        <f t="shared" si="72"/>
        <v>0</v>
      </c>
      <c r="DM274" s="653">
        <f t="shared" si="71"/>
        <v>0</v>
      </c>
      <c r="DN274" s="653">
        <f t="shared" si="71"/>
        <v>0</v>
      </c>
      <c r="DO274" s="653">
        <f t="shared" si="71"/>
        <v>0</v>
      </c>
      <c r="DP274" s="653">
        <f t="shared" si="71"/>
        <v>0</v>
      </c>
      <c r="DQ274" s="653">
        <f t="shared" si="71"/>
        <v>0</v>
      </c>
      <c r="DR274" s="653">
        <f t="shared" si="71"/>
        <v>0</v>
      </c>
      <c r="DS274" s="653">
        <f t="shared" si="71"/>
        <v>0</v>
      </c>
      <c r="DT274" s="653">
        <f t="shared" si="71"/>
        <v>0</v>
      </c>
      <c r="DU274" s="653"/>
      <c r="DV274" s="653"/>
      <c r="DW274" s="470"/>
      <c r="DX274" s="470"/>
      <c r="DY274" s="474">
        <f t="shared" si="45"/>
        <v>0</v>
      </c>
      <c r="EA274" s="730">
        <f t="shared" si="46"/>
        <v>0</v>
      </c>
      <c r="EG274" s="731">
        <f t="shared" si="35"/>
        <v>9.9999999999999995E-8</v>
      </c>
      <c r="EH274" s="655">
        <f t="shared" si="47"/>
        <v>1500</v>
      </c>
      <c r="EI274" s="655">
        <f t="shared" si="48"/>
        <v>0</v>
      </c>
      <c r="EJ274" s="655">
        <f t="shared" si="49"/>
        <v>0</v>
      </c>
      <c r="EK274" s="655">
        <f t="shared" si="50"/>
        <v>0</v>
      </c>
      <c r="EL274" s="655">
        <f t="shared" si="51"/>
        <v>1500</v>
      </c>
      <c r="EM274" s="655"/>
      <c r="EN274" s="655">
        <f t="shared" si="52"/>
        <v>5000</v>
      </c>
      <c r="EO274" s="655">
        <f t="shared" si="53"/>
        <v>0</v>
      </c>
      <c r="EP274" s="655">
        <f t="shared" si="54"/>
        <v>5000</v>
      </c>
      <c r="EQ274" s="481"/>
      <c r="ER274" s="655">
        <f t="shared" si="55"/>
        <v>1500</v>
      </c>
      <c r="ES274" s="656">
        <f t="shared" si="56"/>
        <v>1500</v>
      </c>
      <c r="ET274" s="656">
        <f t="shared" si="57"/>
        <v>0</v>
      </c>
      <c r="EU274" s="656">
        <f t="shared" si="58"/>
        <v>0</v>
      </c>
      <c r="EV274" s="656">
        <f t="shared" si="59"/>
        <v>1500</v>
      </c>
      <c r="EW274" s="483">
        <f t="shared" si="60"/>
        <v>1500</v>
      </c>
      <c r="EX274" s="398">
        <f t="shared" si="61"/>
        <v>0</v>
      </c>
      <c r="EY274" s="285" t="str">
        <f t="shared" si="36"/>
        <v>X</v>
      </c>
      <c r="EZ274" s="628">
        <f t="shared" si="62"/>
        <v>0</v>
      </c>
      <c r="FA274" s="628">
        <f t="shared" si="63"/>
        <v>0</v>
      </c>
    </row>
    <row r="275" spans="1:157" ht="15" customHeight="1">
      <c r="A275" s="244">
        <f t="shared" si="37"/>
        <v>-0.05</v>
      </c>
      <c r="B275" s="637">
        <v>23</v>
      </c>
      <c r="C275" s="644">
        <f t="shared" si="38"/>
        <v>0</v>
      </c>
      <c r="D275" s="628">
        <f t="shared" si="23"/>
        <v>0</v>
      </c>
      <c r="E275" s="645">
        <f t="shared" si="64"/>
        <v>0</v>
      </c>
      <c r="F275" s="645">
        <f>([1]APPLICATION!AA43)+A275</f>
        <v>-0.05</v>
      </c>
      <c r="G275" s="645">
        <f t="shared" si="24"/>
        <v>0</v>
      </c>
      <c r="H275" s="445">
        <f t="shared" si="78"/>
        <v>0</v>
      </c>
      <c r="I275" s="646">
        <f t="shared" si="78"/>
        <v>-0.1</v>
      </c>
      <c r="J275" s="646">
        <f t="shared" si="25"/>
        <v>0</v>
      </c>
      <c r="K275" s="645">
        <f>IF([1]APPLICATION!S43="N",-0.2,0)</f>
        <v>0</v>
      </c>
      <c r="L275" s="645">
        <f t="shared" si="66"/>
        <v>0</v>
      </c>
      <c r="N275" s="645">
        <f t="shared" si="67"/>
        <v>0</v>
      </c>
      <c r="O275" s="645">
        <f t="shared" si="26"/>
        <v>0</v>
      </c>
      <c r="P275" s="645">
        <f t="shared" si="26"/>
        <v>0</v>
      </c>
      <c r="Q275" s="645">
        <f t="shared" si="27"/>
        <v>0</v>
      </c>
      <c r="R275" s="646">
        <f t="shared" si="39"/>
        <v>0</v>
      </c>
      <c r="S275" s="646">
        <f t="shared" si="68"/>
        <v>0</v>
      </c>
      <c r="T275" s="399"/>
      <c r="U275" s="662">
        <f t="shared" si="40"/>
        <v>0</v>
      </c>
      <c r="V275" s="637"/>
      <c r="W275" s="476">
        <f t="shared" si="41"/>
        <v>-0.15000000000000002</v>
      </c>
      <c r="Y275" s="475">
        <f t="shared" si="42"/>
        <v>0</v>
      </c>
      <c r="Z275" s="475">
        <f t="shared" si="43"/>
        <v>0</v>
      </c>
      <c r="AA275" s="395">
        <v>0</v>
      </c>
      <c r="AC275" s="729"/>
      <c r="AD275" s="396">
        <f t="shared" si="44"/>
        <v>0</v>
      </c>
      <c r="AE275" s="396"/>
      <c r="AF275" s="396"/>
      <c r="AH275" s="653">
        <f t="shared" si="73"/>
        <v>0</v>
      </c>
      <c r="AI275" s="653">
        <f t="shared" si="73"/>
        <v>0</v>
      </c>
      <c r="AJ275" s="653">
        <f t="shared" si="73"/>
        <v>0</v>
      </c>
      <c r="AK275" s="653">
        <f t="shared" si="73"/>
        <v>0</v>
      </c>
      <c r="AL275" s="653"/>
      <c r="AM275" s="653"/>
      <c r="AN275" s="653"/>
      <c r="AO275" s="653">
        <f t="shared" si="74"/>
        <v>0</v>
      </c>
      <c r="AP275" s="653">
        <f t="shared" si="74"/>
        <v>0</v>
      </c>
      <c r="AQ275" s="653">
        <f t="shared" si="74"/>
        <v>0</v>
      </c>
      <c r="AR275" s="653">
        <f t="shared" si="74"/>
        <v>0</v>
      </c>
      <c r="AS275" s="653">
        <f t="shared" si="74"/>
        <v>0</v>
      </c>
      <c r="AT275" s="653">
        <f t="shared" si="74"/>
        <v>0</v>
      </c>
      <c r="AU275" s="653">
        <f t="shared" si="74"/>
        <v>0</v>
      </c>
      <c r="AV275" s="653">
        <f t="shared" si="74"/>
        <v>0</v>
      </c>
      <c r="AW275" s="653">
        <f t="shared" si="74"/>
        <v>0</v>
      </c>
      <c r="AX275" s="653">
        <f t="shared" si="74"/>
        <v>0</v>
      </c>
      <c r="AY275" s="653">
        <f t="shared" si="74"/>
        <v>0</v>
      </c>
      <c r="AZ275" s="653"/>
      <c r="BA275" s="653"/>
      <c r="BB275" s="653" t="s">
        <v>2</v>
      </c>
      <c r="BC275" s="653"/>
      <c r="BD275" s="653">
        <f t="shared" si="75"/>
        <v>0</v>
      </c>
      <c r="BE275" s="653">
        <f t="shared" si="75"/>
        <v>0</v>
      </c>
      <c r="BF275" s="653">
        <f t="shared" si="75"/>
        <v>0</v>
      </c>
      <c r="BG275" s="653">
        <f t="shared" si="75"/>
        <v>0</v>
      </c>
      <c r="BH275" s="653">
        <f t="shared" si="75"/>
        <v>0</v>
      </c>
      <c r="BI275" s="653">
        <f t="shared" si="75"/>
        <v>0</v>
      </c>
      <c r="BJ275" s="653">
        <f t="shared" si="75"/>
        <v>0</v>
      </c>
      <c r="BK275" s="653">
        <f t="shared" si="75"/>
        <v>0</v>
      </c>
      <c r="BL275" s="653">
        <f t="shared" si="75"/>
        <v>0</v>
      </c>
      <c r="BM275" s="653">
        <f t="shared" si="75"/>
        <v>0</v>
      </c>
      <c r="BN275" s="470"/>
      <c r="BO275" s="470"/>
      <c r="BP275" s="653">
        <f t="shared" si="70"/>
        <v>0</v>
      </c>
      <c r="BQ275" s="653">
        <f t="shared" si="70"/>
        <v>0</v>
      </c>
      <c r="BR275" s="653">
        <f t="shared" si="70"/>
        <v>0</v>
      </c>
      <c r="BS275" s="653">
        <f t="shared" si="70"/>
        <v>0</v>
      </c>
      <c r="BT275" s="653">
        <f t="shared" si="70"/>
        <v>0</v>
      </c>
      <c r="BU275" s="653">
        <f t="shared" si="70"/>
        <v>0</v>
      </c>
      <c r="BV275" s="653">
        <f t="shared" si="70"/>
        <v>0</v>
      </c>
      <c r="BW275" s="653">
        <f t="shared" si="70"/>
        <v>0</v>
      </c>
      <c r="BX275" s="653">
        <f t="shared" si="70"/>
        <v>0</v>
      </c>
      <c r="BY275" s="653">
        <f t="shared" si="69"/>
        <v>0</v>
      </c>
      <c r="BZ275" s="653">
        <f t="shared" si="69"/>
        <v>0</v>
      </c>
      <c r="CA275" s="653">
        <f t="shared" si="69"/>
        <v>0</v>
      </c>
      <c r="CB275" s="653">
        <f t="shared" si="69"/>
        <v>0</v>
      </c>
      <c r="CC275" s="653">
        <f t="shared" si="69"/>
        <v>0</v>
      </c>
      <c r="CD275" s="653">
        <f t="shared" si="69"/>
        <v>0</v>
      </c>
      <c r="CE275" s="653">
        <f t="shared" si="69"/>
        <v>0</v>
      </c>
      <c r="CF275" s="653">
        <f t="shared" si="69"/>
        <v>0</v>
      </c>
      <c r="CG275" s="653">
        <f t="shared" si="69"/>
        <v>0</v>
      </c>
      <c r="CH275" s="653">
        <f t="shared" si="69"/>
        <v>0</v>
      </c>
      <c r="CI275" s="653">
        <f t="shared" si="69"/>
        <v>0</v>
      </c>
      <c r="CJ275" s="653">
        <f t="shared" si="69"/>
        <v>0</v>
      </c>
      <c r="CK275" s="653"/>
      <c r="CL275" s="653"/>
      <c r="CM275" s="470"/>
      <c r="CN275" s="653">
        <f t="shared" si="76"/>
        <v>0</v>
      </c>
      <c r="CO275" s="653">
        <f t="shared" si="76"/>
        <v>0</v>
      </c>
      <c r="CP275" s="653">
        <f t="shared" si="76"/>
        <v>0</v>
      </c>
      <c r="CQ275" s="470"/>
      <c r="CR275" s="470"/>
      <c r="CS275" s="653">
        <f t="shared" si="77"/>
        <v>0</v>
      </c>
      <c r="CT275" s="653">
        <f t="shared" si="77"/>
        <v>0</v>
      </c>
      <c r="CU275" s="653">
        <f t="shared" si="77"/>
        <v>0</v>
      </c>
      <c r="CV275" s="653">
        <f t="shared" si="77"/>
        <v>0</v>
      </c>
      <c r="CW275" s="653">
        <f t="shared" si="77"/>
        <v>0</v>
      </c>
      <c r="CX275" s="653">
        <f t="shared" si="77"/>
        <v>0</v>
      </c>
      <c r="CY275" s="653">
        <f t="shared" si="77"/>
        <v>0</v>
      </c>
      <c r="CZ275" s="470"/>
      <c r="DA275" s="470"/>
      <c r="DB275" s="653">
        <f t="shared" si="72"/>
        <v>0</v>
      </c>
      <c r="DC275" s="653">
        <f t="shared" si="72"/>
        <v>0</v>
      </c>
      <c r="DD275" s="653">
        <f t="shared" si="72"/>
        <v>0</v>
      </c>
      <c r="DE275" s="653">
        <f t="shared" si="72"/>
        <v>0</v>
      </c>
      <c r="DF275" s="653">
        <f t="shared" si="72"/>
        <v>0</v>
      </c>
      <c r="DG275" s="653">
        <f t="shared" si="72"/>
        <v>0</v>
      </c>
      <c r="DH275" s="653">
        <f t="shared" si="72"/>
        <v>0</v>
      </c>
      <c r="DI275" s="653">
        <f t="shared" si="72"/>
        <v>0</v>
      </c>
      <c r="DJ275" s="653">
        <f t="shared" si="72"/>
        <v>0</v>
      </c>
      <c r="DK275" s="653">
        <f t="shared" si="72"/>
        <v>0</v>
      </c>
      <c r="DL275" s="653">
        <f t="shared" si="72"/>
        <v>0</v>
      </c>
      <c r="DM275" s="653">
        <f t="shared" si="71"/>
        <v>0</v>
      </c>
      <c r="DN275" s="653">
        <f t="shared" si="71"/>
        <v>0</v>
      </c>
      <c r="DO275" s="653">
        <f t="shared" si="71"/>
        <v>0</v>
      </c>
      <c r="DP275" s="653">
        <f t="shared" si="71"/>
        <v>0</v>
      </c>
      <c r="DQ275" s="653">
        <f t="shared" si="71"/>
        <v>0</v>
      </c>
      <c r="DR275" s="653">
        <f t="shared" si="71"/>
        <v>0</v>
      </c>
      <c r="DS275" s="653">
        <f t="shared" si="71"/>
        <v>0</v>
      </c>
      <c r="DT275" s="653">
        <f t="shared" si="71"/>
        <v>0</v>
      </c>
      <c r="DU275" s="653"/>
      <c r="DV275" s="653"/>
      <c r="DW275" s="470"/>
      <c r="DX275" s="470"/>
      <c r="DY275" s="474">
        <f t="shared" si="45"/>
        <v>0</v>
      </c>
      <c r="EA275" s="730">
        <f t="shared" si="46"/>
        <v>0</v>
      </c>
      <c r="EG275" s="731">
        <f t="shared" si="35"/>
        <v>9.9999999999999995E-8</v>
      </c>
      <c r="EH275" s="655">
        <f t="shared" si="47"/>
        <v>1500</v>
      </c>
      <c r="EI275" s="655">
        <f t="shared" si="48"/>
        <v>0</v>
      </c>
      <c r="EJ275" s="655">
        <f t="shared" si="49"/>
        <v>0</v>
      </c>
      <c r="EK275" s="655">
        <f t="shared" si="50"/>
        <v>0</v>
      </c>
      <c r="EL275" s="655">
        <f t="shared" si="51"/>
        <v>1500</v>
      </c>
      <c r="EM275" s="655"/>
      <c r="EN275" s="655">
        <f t="shared" si="52"/>
        <v>5000</v>
      </c>
      <c r="EO275" s="655">
        <f t="shared" si="53"/>
        <v>0</v>
      </c>
      <c r="EP275" s="655">
        <f t="shared" si="54"/>
        <v>5000</v>
      </c>
      <c r="EQ275" s="481"/>
      <c r="ER275" s="655">
        <f t="shared" si="55"/>
        <v>1500</v>
      </c>
      <c r="ES275" s="656">
        <f t="shared" si="56"/>
        <v>1500</v>
      </c>
      <c r="ET275" s="656">
        <f t="shared" si="57"/>
        <v>0</v>
      </c>
      <c r="EU275" s="656">
        <f t="shared" si="58"/>
        <v>0</v>
      </c>
      <c r="EV275" s="656">
        <f t="shared" si="59"/>
        <v>1500</v>
      </c>
      <c r="EW275" s="483">
        <f t="shared" si="60"/>
        <v>1500</v>
      </c>
      <c r="EX275" s="398">
        <f t="shared" si="61"/>
        <v>0</v>
      </c>
      <c r="EY275" s="285" t="str">
        <f t="shared" si="36"/>
        <v>X</v>
      </c>
      <c r="EZ275" s="628">
        <f t="shared" si="62"/>
        <v>0</v>
      </c>
      <c r="FA275" s="628">
        <f t="shared" si="63"/>
        <v>0</v>
      </c>
    </row>
    <row r="276" spans="1:157" ht="15" customHeight="1">
      <c r="A276" s="244">
        <f t="shared" si="37"/>
        <v>-0.05</v>
      </c>
      <c r="B276" s="637">
        <v>24</v>
      </c>
      <c r="C276" s="644">
        <f t="shared" si="38"/>
        <v>0</v>
      </c>
      <c r="D276" s="628">
        <f t="shared" si="23"/>
        <v>0</v>
      </c>
      <c r="E276" s="645">
        <f t="shared" si="64"/>
        <v>0</v>
      </c>
      <c r="F276" s="645">
        <f>([1]APPLICATION!AA44)+A276</f>
        <v>-0.05</v>
      </c>
      <c r="G276" s="645">
        <f t="shared" si="24"/>
        <v>0</v>
      </c>
      <c r="H276" s="445">
        <f t="shared" si="78"/>
        <v>0</v>
      </c>
      <c r="I276" s="646">
        <f t="shared" si="78"/>
        <v>-0.1</v>
      </c>
      <c r="J276" s="646">
        <f t="shared" si="25"/>
        <v>0</v>
      </c>
      <c r="K276" s="645">
        <f>IF([1]APPLICATION!S44="N",-0.2,0)</f>
        <v>0</v>
      </c>
      <c r="L276" s="645">
        <f t="shared" si="66"/>
        <v>0</v>
      </c>
      <c r="N276" s="645">
        <f t="shared" si="67"/>
        <v>0</v>
      </c>
      <c r="O276" s="645">
        <f t="shared" si="26"/>
        <v>0</v>
      </c>
      <c r="P276" s="645">
        <f t="shared" si="26"/>
        <v>0</v>
      </c>
      <c r="Q276" s="645">
        <f t="shared" si="27"/>
        <v>0</v>
      </c>
      <c r="R276" s="646">
        <f t="shared" si="39"/>
        <v>0</v>
      </c>
      <c r="S276" s="646">
        <f t="shared" si="68"/>
        <v>0</v>
      </c>
      <c r="T276" s="399"/>
      <c r="U276" s="662">
        <f t="shared" si="40"/>
        <v>0</v>
      </c>
      <c r="V276" s="637"/>
      <c r="W276" s="476">
        <f t="shared" si="41"/>
        <v>-0.15000000000000002</v>
      </c>
      <c r="Y276" s="475">
        <f t="shared" si="42"/>
        <v>0</v>
      </c>
      <c r="Z276" s="475">
        <f t="shared" si="43"/>
        <v>0</v>
      </c>
      <c r="AA276" s="395">
        <v>0</v>
      </c>
      <c r="AC276" s="729"/>
      <c r="AD276" s="396">
        <f t="shared" si="44"/>
        <v>0</v>
      </c>
      <c r="AE276" s="396"/>
      <c r="AF276" s="396"/>
      <c r="AH276" s="653">
        <f t="shared" si="73"/>
        <v>0</v>
      </c>
      <c r="AI276" s="653">
        <f t="shared" si="73"/>
        <v>0</v>
      </c>
      <c r="AJ276" s="653">
        <f t="shared" si="73"/>
        <v>0</v>
      </c>
      <c r="AK276" s="653">
        <f t="shared" si="73"/>
        <v>0</v>
      </c>
      <c r="AL276" s="653"/>
      <c r="AM276" s="653"/>
      <c r="AN276" s="653"/>
      <c r="AO276" s="653">
        <f t="shared" si="74"/>
        <v>0</v>
      </c>
      <c r="AP276" s="653">
        <f t="shared" si="74"/>
        <v>0</v>
      </c>
      <c r="AQ276" s="653">
        <f t="shared" si="74"/>
        <v>0</v>
      </c>
      <c r="AR276" s="653">
        <f t="shared" si="74"/>
        <v>0</v>
      </c>
      <c r="AS276" s="653">
        <f t="shared" si="74"/>
        <v>0</v>
      </c>
      <c r="AT276" s="653">
        <f t="shared" si="74"/>
        <v>0</v>
      </c>
      <c r="AU276" s="653">
        <f t="shared" si="74"/>
        <v>0</v>
      </c>
      <c r="AV276" s="653">
        <f t="shared" si="74"/>
        <v>0</v>
      </c>
      <c r="AW276" s="653">
        <f t="shared" si="74"/>
        <v>0</v>
      </c>
      <c r="AX276" s="653">
        <f t="shared" si="74"/>
        <v>0</v>
      </c>
      <c r="AY276" s="653">
        <f t="shared" si="74"/>
        <v>0</v>
      </c>
      <c r="AZ276" s="653"/>
      <c r="BA276" s="653"/>
      <c r="BB276" s="653" t="s">
        <v>2</v>
      </c>
      <c r="BC276" s="653"/>
      <c r="BD276" s="653">
        <f t="shared" si="75"/>
        <v>0</v>
      </c>
      <c r="BE276" s="653">
        <f t="shared" si="75"/>
        <v>0</v>
      </c>
      <c r="BF276" s="653">
        <f t="shared" si="75"/>
        <v>0</v>
      </c>
      <c r="BG276" s="653">
        <f t="shared" si="75"/>
        <v>0</v>
      </c>
      <c r="BH276" s="653">
        <f t="shared" si="75"/>
        <v>0</v>
      </c>
      <c r="BI276" s="653">
        <f t="shared" si="75"/>
        <v>0</v>
      </c>
      <c r="BJ276" s="653">
        <f t="shared" si="75"/>
        <v>0</v>
      </c>
      <c r="BK276" s="653">
        <f t="shared" si="75"/>
        <v>0</v>
      </c>
      <c r="BL276" s="653">
        <f t="shared" si="75"/>
        <v>0</v>
      </c>
      <c r="BM276" s="653">
        <f t="shared" si="75"/>
        <v>0</v>
      </c>
      <c r="BN276" s="470"/>
      <c r="BO276" s="470"/>
      <c r="BP276" s="653">
        <f t="shared" si="70"/>
        <v>0</v>
      </c>
      <c r="BQ276" s="653">
        <f t="shared" si="70"/>
        <v>0</v>
      </c>
      <c r="BR276" s="653">
        <f t="shared" si="70"/>
        <v>0</v>
      </c>
      <c r="BS276" s="653">
        <f t="shared" si="70"/>
        <v>0</v>
      </c>
      <c r="BT276" s="653">
        <f t="shared" si="70"/>
        <v>0</v>
      </c>
      <c r="BU276" s="653">
        <f t="shared" si="70"/>
        <v>0</v>
      </c>
      <c r="BV276" s="653">
        <f t="shared" si="70"/>
        <v>0</v>
      </c>
      <c r="BW276" s="653">
        <f t="shared" si="70"/>
        <v>0</v>
      </c>
      <c r="BX276" s="653">
        <f t="shared" si="70"/>
        <v>0</v>
      </c>
      <c r="BY276" s="653">
        <f t="shared" si="69"/>
        <v>0</v>
      </c>
      <c r="BZ276" s="653">
        <f t="shared" si="69"/>
        <v>0</v>
      </c>
      <c r="CA276" s="653">
        <f t="shared" si="69"/>
        <v>0</v>
      </c>
      <c r="CB276" s="653">
        <f t="shared" si="69"/>
        <v>0</v>
      </c>
      <c r="CC276" s="653">
        <f t="shared" si="69"/>
        <v>0</v>
      </c>
      <c r="CD276" s="653">
        <f t="shared" si="69"/>
        <v>0</v>
      </c>
      <c r="CE276" s="653">
        <f t="shared" si="69"/>
        <v>0</v>
      </c>
      <c r="CF276" s="653">
        <f t="shared" si="69"/>
        <v>0</v>
      </c>
      <c r="CG276" s="653">
        <f t="shared" si="69"/>
        <v>0</v>
      </c>
      <c r="CH276" s="653">
        <f t="shared" si="69"/>
        <v>0</v>
      </c>
      <c r="CI276" s="653">
        <f t="shared" si="69"/>
        <v>0</v>
      </c>
      <c r="CJ276" s="653">
        <f t="shared" si="69"/>
        <v>0</v>
      </c>
      <c r="CK276" s="653"/>
      <c r="CL276" s="653"/>
      <c r="CM276" s="470"/>
      <c r="CN276" s="653">
        <f t="shared" si="76"/>
        <v>0</v>
      </c>
      <c r="CO276" s="653">
        <f t="shared" si="76"/>
        <v>0</v>
      </c>
      <c r="CP276" s="653">
        <f t="shared" si="76"/>
        <v>0</v>
      </c>
      <c r="CQ276" s="470"/>
      <c r="CR276" s="470"/>
      <c r="CS276" s="653">
        <f t="shared" si="77"/>
        <v>0</v>
      </c>
      <c r="CT276" s="653">
        <f t="shared" si="77"/>
        <v>0</v>
      </c>
      <c r="CU276" s="653">
        <f t="shared" si="77"/>
        <v>0</v>
      </c>
      <c r="CV276" s="653">
        <f t="shared" si="77"/>
        <v>0</v>
      </c>
      <c r="CW276" s="653">
        <f t="shared" si="77"/>
        <v>0</v>
      </c>
      <c r="CX276" s="653">
        <f t="shared" si="77"/>
        <v>0</v>
      </c>
      <c r="CY276" s="653">
        <f t="shared" si="77"/>
        <v>0</v>
      </c>
      <c r="CZ276" s="470"/>
      <c r="DA276" s="470"/>
      <c r="DB276" s="653">
        <f t="shared" si="72"/>
        <v>0</v>
      </c>
      <c r="DC276" s="653">
        <f t="shared" si="72"/>
        <v>0</v>
      </c>
      <c r="DD276" s="653">
        <f t="shared" si="72"/>
        <v>0</v>
      </c>
      <c r="DE276" s="653">
        <f t="shared" si="72"/>
        <v>0</v>
      </c>
      <c r="DF276" s="653">
        <f t="shared" si="72"/>
        <v>0</v>
      </c>
      <c r="DG276" s="653">
        <f t="shared" si="72"/>
        <v>0</v>
      </c>
      <c r="DH276" s="653">
        <f t="shared" si="72"/>
        <v>0</v>
      </c>
      <c r="DI276" s="653">
        <f t="shared" si="72"/>
        <v>0</v>
      </c>
      <c r="DJ276" s="653">
        <f t="shared" si="72"/>
        <v>0</v>
      </c>
      <c r="DK276" s="653">
        <f t="shared" si="72"/>
        <v>0</v>
      </c>
      <c r="DL276" s="653">
        <f t="shared" si="72"/>
        <v>0</v>
      </c>
      <c r="DM276" s="653">
        <f t="shared" si="71"/>
        <v>0</v>
      </c>
      <c r="DN276" s="653">
        <f t="shared" si="71"/>
        <v>0</v>
      </c>
      <c r="DO276" s="653">
        <f t="shared" si="71"/>
        <v>0</v>
      </c>
      <c r="DP276" s="653">
        <f t="shared" si="71"/>
        <v>0</v>
      </c>
      <c r="DQ276" s="653">
        <f t="shared" si="71"/>
        <v>0</v>
      </c>
      <c r="DR276" s="653">
        <f t="shared" si="71"/>
        <v>0</v>
      </c>
      <c r="DS276" s="653">
        <f t="shared" si="71"/>
        <v>0</v>
      </c>
      <c r="DT276" s="653">
        <f t="shared" si="71"/>
        <v>0</v>
      </c>
      <c r="DU276" s="653"/>
      <c r="DV276" s="653"/>
      <c r="DW276" s="470"/>
      <c r="DX276" s="470"/>
      <c r="DY276" s="474">
        <f t="shared" si="45"/>
        <v>0</v>
      </c>
      <c r="EA276" s="730">
        <f t="shared" si="46"/>
        <v>0</v>
      </c>
      <c r="EG276" s="731">
        <f t="shared" si="35"/>
        <v>9.9999999999999995E-8</v>
      </c>
      <c r="EH276" s="655">
        <f t="shared" si="47"/>
        <v>1500</v>
      </c>
      <c r="EI276" s="655">
        <f t="shared" si="48"/>
        <v>0</v>
      </c>
      <c r="EJ276" s="655">
        <f t="shared" si="49"/>
        <v>0</v>
      </c>
      <c r="EK276" s="655">
        <f t="shared" si="50"/>
        <v>0</v>
      </c>
      <c r="EL276" s="655">
        <f t="shared" si="51"/>
        <v>1500</v>
      </c>
      <c r="EM276" s="655"/>
      <c r="EN276" s="655">
        <f t="shared" si="52"/>
        <v>5000</v>
      </c>
      <c r="EO276" s="655">
        <f t="shared" si="53"/>
        <v>0</v>
      </c>
      <c r="EP276" s="655">
        <f t="shared" si="54"/>
        <v>5000</v>
      </c>
      <c r="EQ276" s="481"/>
      <c r="ER276" s="655">
        <f t="shared" si="55"/>
        <v>1500</v>
      </c>
      <c r="ES276" s="656">
        <f t="shared" si="56"/>
        <v>1500</v>
      </c>
      <c r="ET276" s="656">
        <f t="shared" si="57"/>
        <v>0</v>
      </c>
      <c r="EU276" s="656">
        <f t="shared" si="58"/>
        <v>0</v>
      </c>
      <c r="EV276" s="656">
        <f t="shared" si="59"/>
        <v>1500</v>
      </c>
      <c r="EW276" s="483">
        <f t="shared" si="60"/>
        <v>1500</v>
      </c>
      <c r="EX276" s="398">
        <f t="shared" si="61"/>
        <v>0</v>
      </c>
      <c r="EY276" s="285" t="str">
        <f t="shared" si="36"/>
        <v>X</v>
      </c>
      <c r="EZ276" s="628">
        <f t="shared" si="62"/>
        <v>0</v>
      </c>
      <c r="FA276" s="628">
        <f t="shared" si="63"/>
        <v>0</v>
      </c>
    </row>
    <row r="277" spans="1:157" ht="15" customHeight="1">
      <c r="A277" s="244">
        <f t="shared" si="37"/>
        <v>-0.05</v>
      </c>
      <c r="B277" s="637">
        <v>25</v>
      </c>
      <c r="C277" s="644">
        <f t="shared" si="38"/>
        <v>0</v>
      </c>
      <c r="D277" s="628">
        <f t="shared" si="23"/>
        <v>0</v>
      </c>
      <c r="E277" s="645">
        <f t="shared" si="64"/>
        <v>0</v>
      </c>
      <c r="F277" s="645">
        <f>([1]APPLICATION!AA45)+A277</f>
        <v>-0.05</v>
      </c>
      <c r="G277" s="645">
        <f t="shared" si="24"/>
        <v>0</v>
      </c>
      <c r="H277" s="445">
        <f t="shared" si="78"/>
        <v>0</v>
      </c>
      <c r="I277" s="646">
        <f t="shared" si="78"/>
        <v>-0.1</v>
      </c>
      <c r="J277" s="646">
        <f t="shared" si="25"/>
        <v>0</v>
      </c>
      <c r="K277" s="645">
        <f>IF([1]APPLICATION!S45="N",-0.2,0)</f>
        <v>0</v>
      </c>
      <c r="L277" s="645">
        <f t="shared" si="66"/>
        <v>0</v>
      </c>
      <c r="N277" s="645">
        <f t="shared" si="67"/>
        <v>0</v>
      </c>
      <c r="O277" s="645">
        <f t="shared" si="26"/>
        <v>0</v>
      </c>
      <c r="P277" s="645">
        <f t="shared" si="26"/>
        <v>0</v>
      </c>
      <c r="Q277" s="645">
        <f t="shared" si="27"/>
        <v>0</v>
      </c>
      <c r="R277" s="646">
        <f t="shared" si="39"/>
        <v>0</v>
      </c>
      <c r="S277" s="646">
        <f t="shared" si="68"/>
        <v>0</v>
      </c>
      <c r="T277" s="399"/>
      <c r="U277" s="662">
        <f t="shared" si="40"/>
        <v>0</v>
      </c>
      <c r="V277" s="637"/>
      <c r="W277" s="476">
        <f t="shared" si="41"/>
        <v>-0.15000000000000002</v>
      </c>
      <c r="Y277" s="475">
        <f t="shared" si="42"/>
        <v>0</v>
      </c>
      <c r="Z277" s="475">
        <f t="shared" si="43"/>
        <v>0</v>
      </c>
      <c r="AA277" s="395">
        <f>EA277*$AN$243</f>
        <v>0</v>
      </c>
      <c r="AC277" s="729"/>
      <c r="AD277" s="396">
        <f t="shared" si="44"/>
        <v>0</v>
      </c>
      <c r="AE277" s="396"/>
      <c r="AF277" s="396"/>
      <c r="AH277" s="653">
        <f t="shared" si="73"/>
        <v>0</v>
      </c>
      <c r="AI277" s="653">
        <f t="shared" si="73"/>
        <v>0</v>
      </c>
      <c r="AJ277" s="653">
        <f t="shared" si="73"/>
        <v>0</v>
      </c>
      <c r="AK277" s="653">
        <f t="shared" si="73"/>
        <v>0</v>
      </c>
      <c r="AL277" s="653"/>
      <c r="AM277" s="653"/>
      <c r="AN277" s="653"/>
      <c r="AO277" s="653">
        <f t="shared" si="74"/>
        <v>0</v>
      </c>
      <c r="AP277" s="653">
        <f t="shared" si="74"/>
        <v>0</v>
      </c>
      <c r="AQ277" s="653">
        <f t="shared" si="74"/>
        <v>0</v>
      </c>
      <c r="AR277" s="653">
        <f t="shared" si="74"/>
        <v>0</v>
      </c>
      <c r="AS277" s="653">
        <f t="shared" si="74"/>
        <v>0</v>
      </c>
      <c r="AT277" s="653">
        <f t="shared" si="74"/>
        <v>0</v>
      </c>
      <c r="AU277" s="653">
        <f t="shared" si="74"/>
        <v>0</v>
      </c>
      <c r="AV277" s="653">
        <f t="shared" si="74"/>
        <v>0</v>
      </c>
      <c r="AW277" s="653">
        <f t="shared" si="74"/>
        <v>0</v>
      </c>
      <c r="AX277" s="653">
        <f t="shared" si="74"/>
        <v>0</v>
      </c>
      <c r="AY277" s="653">
        <f t="shared" si="74"/>
        <v>0</v>
      </c>
      <c r="AZ277" s="653"/>
      <c r="BA277" s="653"/>
      <c r="BB277" s="653" t="s">
        <v>2</v>
      </c>
      <c r="BC277" s="653"/>
      <c r="BD277" s="653">
        <f t="shared" si="75"/>
        <v>0</v>
      </c>
      <c r="BE277" s="653">
        <f t="shared" si="75"/>
        <v>0</v>
      </c>
      <c r="BF277" s="653">
        <f t="shared" si="75"/>
        <v>0</v>
      </c>
      <c r="BG277" s="653">
        <f t="shared" si="75"/>
        <v>0</v>
      </c>
      <c r="BH277" s="653">
        <f t="shared" si="75"/>
        <v>0</v>
      </c>
      <c r="BI277" s="653">
        <f t="shared" si="75"/>
        <v>0</v>
      </c>
      <c r="BJ277" s="653">
        <f t="shared" si="75"/>
        <v>0</v>
      </c>
      <c r="BK277" s="653">
        <f t="shared" si="75"/>
        <v>0</v>
      </c>
      <c r="BL277" s="653">
        <f t="shared" si="75"/>
        <v>0</v>
      </c>
      <c r="BM277" s="653">
        <f t="shared" si="75"/>
        <v>0</v>
      </c>
      <c r="BN277" s="470"/>
      <c r="BO277" s="470"/>
      <c r="BP277" s="653">
        <f t="shared" si="70"/>
        <v>0</v>
      </c>
      <c r="BQ277" s="653">
        <f t="shared" si="70"/>
        <v>0</v>
      </c>
      <c r="BR277" s="653">
        <f t="shared" si="70"/>
        <v>0</v>
      </c>
      <c r="BS277" s="653">
        <f t="shared" si="70"/>
        <v>0</v>
      </c>
      <c r="BT277" s="653">
        <f t="shared" si="70"/>
        <v>0</v>
      </c>
      <c r="BU277" s="653">
        <f t="shared" si="70"/>
        <v>0</v>
      </c>
      <c r="BV277" s="653">
        <f t="shared" si="70"/>
        <v>0</v>
      </c>
      <c r="BW277" s="653">
        <f t="shared" si="70"/>
        <v>0</v>
      </c>
      <c r="BX277" s="653">
        <f t="shared" si="70"/>
        <v>0</v>
      </c>
      <c r="BY277" s="653">
        <f t="shared" si="69"/>
        <v>0</v>
      </c>
      <c r="BZ277" s="653">
        <f t="shared" si="69"/>
        <v>0</v>
      </c>
      <c r="CA277" s="653">
        <f t="shared" si="69"/>
        <v>0</v>
      </c>
      <c r="CB277" s="653">
        <f t="shared" si="69"/>
        <v>0</v>
      </c>
      <c r="CC277" s="653">
        <f t="shared" si="69"/>
        <v>0</v>
      </c>
      <c r="CD277" s="653">
        <f t="shared" si="69"/>
        <v>0</v>
      </c>
      <c r="CE277" s="653">
        <f t="shared" si="69"/>
        <v>0</v>
      </c>
      <c r="CF277" s="653">
        <f t="shared" si="69"/>
        <v>0</v>
      </c>
      <c r="CG277" s="653">
        <f t="shared" si="69"/>
        <v>0</v>
      </c>
      <c r="CH277" s="653">
        <f t="shared" si="69"/>
        <v>0</v>
      </c>
      <c r="CI277" s="653">
        <f t="shared" si="69"/>
        <v>0</v>
      </c>
      <c r="CJ277" s="653">
        <f t="shared" si="69"/>
        <v>0</v>
      </c>
      <c r="CK277" s="653"/>
      <c r="CL277" s="653"/>
      <c r="CM277" s="470"/>
      <c r="CN277" s="653">
        <f t="shared" si="76"/>
        <v>0</v>
      </c>
      <c r="CO277" s="653">
        <f t="shared" si="76"/>
        <v>0</v>
      </c>
      <c r="CP277" s="653">
        <f t="shared" si="76"/>
        <v>0</v>
      </c>
      <c r="CQ277" s="470"/>
      <c r="CR277" s="470"/>
      <c r="CS277" s="653">
        <f t="shared" si="77"/>
        <v>0</v>
      </c>
      <c r="CT277" s="653">
        <f t="shared" si="77"/>
        <v>0</v>
      </c>
      <c r="CU277" s="653">
        <f t="shared" si="77"/>
        <v>0</v>
      </c>
      <c r="CV277" s="653">
        <f t="shared" si="77"/>
        <v>0</v>
      </c>
      <c r="CW277" s="653">
        <f t="shared" si="77"/>
        <v>0</v>
      </c>
      <c r="CX277" s="653">
        <f t="shared" si="77"/>
        <v>0</v>
      </c>
      <c r="CY277" s="653">
        <f t="shared" si="77"/>
        <v>0</v>
      </c>
      <c r="CZ277" s="470"/>
      <c r="DA277" s="470"/>
      <c r="DB277" s="653">
        <f t="shared" si="72"/>
        <v>0</v>
      </c>
      <c r="DC277" s="653">
        <f t="shared" si="72"/>
        <v>0</v>
      </c>
      <c r="DD277" s="653">
        <f t="shared" si="72"/>
        <v>0</v>
      </c>
      <c r="DE277" s="653">
        <f t="shared" si="72"/>
        <v>0</v>
      </c>
      <c r="DF277" s="653">
        <f t="shared" si="72"/>
        <v>0</v>
      </c>
      <c r="DG277" s="653">
        <f t="shared" si="72"/>
        <v>0</v>
      </c>
      <c r="DH277" s="653">
        <f t="shared" si="72"/>
        <v>0</v>
      </c>
      <c r="DI277" s="653">
        <f t="shared" si="72"/>
        <v>0</v>
      </c>
      <c r="DJ277" s="653">
        <f t="shared" si="72"/>
        <v>0</v>
      </c>
      <c r="DK277" s="653">
        <f t="shared" si="72"/>
        <v>0</v>
      </c>
      <c r="DL277" s="653">
        <f t="shared" si="72"/>
        <v>0</v>
      </c>
      <c r="DM277" s="653">
        <f t="shared" si="71"/>
        <v>0</v>
      </c>
      <c r="DN277" s="653">
        <f t="shared" si="71"/>
        <v>0</v>
      </c>
      <c r="DO277" s="653">
        <f t="shared" si="71"/>
        <v>0</v>
      </c>
      <c r="DP277" s="653">
        <f t="shared" si="71"/>
        <v>0</v>
      </c>
      <c r="DQ277" s="653">
        <f t="shared" si="71"/>
        <v>0</v>
      </c>
      <c r="DR277" s="653">
        <f t="shared" si="71"/>
        <v>0</v>
      </c>
      <c r="DS277" s="653">
        <f t="shared" si="71"/>
        <v>0</v>
      </c>
      <c r="DT277" s="653">
        <f t="shared" si="71"/>
        <v>0</v>
      </c>
      <c r="DU277" s="653"/>
      <c r="DV277" s="653"/>
      <c r="DW277" s="470"/>
      <c r="DX277" s="470"/>
      <c r="DY277" s="474">
        <f t="shared" si="45"/>
        <v>0</v>
      </c>
      <c r="EA277" s="730">
        <f t="shared" si="46"/>
        <v>0</v>
      </c>
      <c r="EG277" s="731">
        <f t="shared" si="35"/>
        <v>9.9999999999999995E-8</v>
      </c>
      <c r="EH277" s="655">
        <f t="shared" si="47"/>
        <v>1500</v>
      </c>
      <c r="EI277" s="655">
        <f t="shared" si="48"/>
        <v>0</v>
      </c>
      <c r="EJ277" s="655">
        <f t="shared" si="49"/>
        <v>0</v>
      </c>
      <c r="EK277" s="655">
        <f t="shared" si="50"/>
        <v>0</v>
      </c>
      <c r="EL277" s="655">
        <f t="shared" si="51"/>
        <v>1500</v>
      </c>
      <c r="EM277" s="655"/>
      <c r="EN277" s="655">
        <f t="shared" si="52"/>
        <v>5000</v>
      </c>
      <c r="EO277" s="655">
        <f t="shared" si="53"/>
        <v>0</v>
      </c>
      <c r="EP277" s="655">
        <f t="shared" si="54"/>
        <v>5000</v>
      </c>
      <c r="EQ277" s="481"/>
      <c r="ER277" s="655">
        <f t="shared" si="55"/>
        <v>1500</v>
      </c>
      <c r="ES277" s="656">
        <f t="shared" si="56"/>
        <v>1500</v>
      </c>
      <c r="ET277" s="656">
        <f t="shared" si="57"/>
        <v>0</v>
      </c>
      <c r="EU277" s="656">
        <f t="shared" si="58"/>
        <v>0</v>
      </c>
      <c r="EV277" s="656">
        <f t="shared" si="59"/>
        <v>1500</v>
      </c>
      <c r="EW277" s="483">
        <f t="shared" si="60"/>
        <v>1500</v>
      </c>
      <c r="EX277" s="398">
        <f t="shared" si="61"/>
        <v>0</v>
      </c>
      <c r="EY277" s="285" t="str">
        <f t="shared" si="36"/>
        <v>X</v>
      </c>
      <c r="EZ277" s="628">
        <f t="shared" si="62"/>
        <v>0</v>
      </c>
      <c r="FA277" s="628">
        <f t="shared" si="63"/>
        <v>0</v>
      </c>
    </row>
    <row r="278" spans="1:157" s="636" customFormat="1" ht="17.25" customHeight="1" thickBot="1">
      <c r="A278" s="303"/>
      <c r="D278" s="636">
        <f>SUM(D253:D277)</f>
        <v>0</v>
      </c>
      <c r="AB278" s="629"/>
      <c r="AC278" s="630"/>
      <c r="AD278" s="396" t="s">
        <v>2</v>
      </c>
      <c r="AE278" s="396"/>
      <c r="AF278" s="396"/>
      <c r="AG278" s="631"/>
      <c r="AH278" s="632"/>
      <c r="AI278" s="632"/>
      <c r="AJ278" s="632"/>
      <c r="AK278" s="632"/>
      <c r="AL278" s="632"/>
      <c r="AM278" s="632"/>
      <c r="AN278" s="631"/>
      <c r="AO278" s="631"/>
      <c r="AP278" s="631"/>
      <c r="AQ278" s="631"/>
      <c r="AR278" s="631"/>
      <c r="AS278" s="631"/>
      <c r="AT278" s="631"/>
      <c r="AU278" s="631"/>
      <c r="AV278" s="631"/>
      <c r="AW278" s="631"/>
      <c r="AX278" s="631"/>
      <c r="AY278" s="631"/>
      <c r="AZ278" s="631"/>
      <c r="BA278" s="631"/>
      <c r="BB278" s="631"/>
      <c r="BC278" s="631"/>
      <c r="BD278" s="633"/>
      <c r="BE278" s="633"/>
      <c r="BF278" s="633"/>
      <c r="BG278" s="633"/>
      <c r="BH278" s="633"/>
      <c r="BI278" s="633"/>
      <c r="BJ278" s="633"/>
      <c r="BK278" s="633"/>
      <c r="BL278" s="633"/>
      <c r="BM278" s="633"/>
      <c r="BN278" s="633"/>
      <c r="BO278" s="633"/>
      <c r="BP278" s="633"/>
      <c r="BQ278" s="633"/>
      <c r="BR278" s="633"/>
      <c r="BS278" s="633"/>
      <c r="BT278" s="633"/>
      <c r="BU278" s="633"/>
      <c r="BV278" s="633"/>
      <c r="BW278" s="633"/>
      <c r="BX278" s="633"/>
      <c r="BY278" s="633"/>
      <c r="BZ278" s="633"/>
      <c r="CA278" s="633"/>
      <c r="CB278" s="633"/>
      <c r="CC278" s="633"/>
      <c r="CD278" s="633"/>
      <c r="CE278" s="633"/>
      <c r="CF278" s="633"/>
      <c r="CG278" s="633"/>
      <c r="CH278" s="633"/>
      <c r="CI278" s="633"/>
      <c r="CJ278" s="633"/>
      <c r="CK278" s="633"/>
      <c r="CL278" s="633"/>
      <c r="CM278" s="633"/>
      <c r="CN278" s="633"/>
      <c r="CO278" s="633"/>
      <c r="CP278" s="633"/>
      <c r="CQ278" s="633"/>
      <c r="CR278" s="633"/>
      <c r="CS278" s="633"/>
      <c r="CT278" s="633"/>
      <c r="CU278" s="633"/>
      <c r="CV278" s="633"/>
      <c r="CW278" s="633"/>
      <c r="CX278" s="633"/>
      <c r="CY278" s="633"/>
      <c r="CZ278" s="633"/>
      <c r="DA278" s="633"/>
      <c r="DB278" s="633"/>
      <c r="DC278" s="633"/>
      <c r="DD278" s="633"/>
      <c r="DE278" s="633"/>
      <c r="DF278" s="633"/>
      <c r="DG278" s="633"/>
      <c r="DH278" s="633"/>
      <c r="DI278" s="633"/>
      <c r="DJ278" s="633"/>
      <c r="DK278" s="633"/>
      <c r="DL278" s="633"/>
      <c r="DM278" s="633"/>
      <c r="DN278" s="633"/>
      <c r="DO278" s="633"/>
      <c r="DP278" s="633"/>
      <c r="DQ278" s="633"/>
      <c r="DR278" s="633"/>
      <c r="DS278" s="633"/>
      <c r="DT278" s="633"/>
      <c r="DU278" s="633"/>
      <c r="DV278" s="633"/>
      <c r="DW278" s="633"/>
      <c r="DX278" s="633"/>
      <c r="DY278" s="633"/>
      <c r="DZ278" s="633"/>
      <c r="EA278" s="633"/>
      <c r="EB278" s="633"/>
      <c r="EC278" s="633"/>
      <c r="ED278" s="633"/>
      <c r="EE278" s="633"/>
      <c r="EF278" s="633"/>
      <c r="EG278" s="633"/>
      <c r="EH278" s="633"/>
      <c r="EI278" s="633"/>
      <c r="EJ278" s="633"/>
      <c r="EK278" s="633"/>
      <c r="EL278" s="633"/>
      <c r="EM278" s="633"/>
      <c r="EN278" s="633"/>
      <c r="EO278" s="630"/>
      <c r="EP278" s="630"/>
      <c r="EQ278" s="630"/>
      <c r="ER278" s="633"/>
      <c r="ES278" s="640"/>
      <c r="ET278" s="640"/>
      <c r="EU278" s="640"/>
      <c r="EV278" s="640"/>
      <c r="EW278" s="640"/>
    </row>
    <row r="279" spans="1:157">
      <c r="ER279" s="633"/>
      <c r="ES279" s="640"/>
      <c r="ET279" s="640"/>
      <c r="EU279" s="640"/>
      <c r="EV279" s="640"/>
      <c r="EW279" s="640"/>
    </row>
    <row r="280" spans="1:157">
      <c r="ER280" s="633"/>
      <c r="ES280" s="640"/>
      <c r="ET280" s="640"/>
      <c r="EU280" s="640"/>
      <c r="EV280" s="640"/>
      <c r="EW280" s="640"/>
    </row>
    <row r="281" spans="1:157">
      <c r="ER281" s="633"/>
      <c r="ES281" s="640"/>
      <c r="ET281" s="640"/>
      <c r="EU281" s="640"/>
      <c r="EV281" s="640"/>
      <c r="EW281" s="640"/>
    </row>
    <row r="282" spans="1:157">
      <c r="ER282" s="633"/>
      <c r="ES282" s="640"/>
      <c r="ET282" s="640"/>
      <c r="EU282" s="640"/>
      <c r="EV282" s="640"/>
      <c r="EW282" s="640"/>
    </row>
    <row r="283" spans="1:157">
      <c r="ER283" s="633"/>
      <c r="ES283" s="640"/>
      <c r="ET283" s="640"/>
      <c r="EU283" s="640"/>
      <c r="EV283" s="640"/>
      <c r="EW283" s="640"/>
    </row>
    <row r="284" spans="1:157">
      <c r="ER284" s="633"/>
      <c r="ES284" s="640"/>
      <c r="ET284" s="640"/>
      <c r="EU284" s="640"/>
      <c r="EV284" s="640"/>
      <c r="EW284" s="640"/>
    </row>
    <row r="285" spans="1:157">
      <c r="ER285" s="633"/>
      <c r="ES285" s="640"/>
      <c r="ET285" s="640"/>
      <c r="EU285" s="640"/>
      <c r="EV285" s="640"/>
      <c r="EW285" s="640"/>
    </row>
    <row r="286" spans="1:157">
      <c r="ER286" s="633"/>
      <c r="ES286" s="640"/>
      <c r="ET286" s="640"/>
      <c r="EU286" s="640"/>
      <c r="EV286" s="640"/>
      <c r="EW286" s="640"/>
    </row>
    <row r="287" spans="1:157">
      <c r="ER287" s="633"/>
      <c r="ES287" s="640"/>
      <c r="ET287" s="640"/>
      <c r="EU287" s="640"/>
      <c r="EV287" s="640"/>
      <c r="EW287" s="640"/>
    </row>
    <row r="288" spans="1:157">
      <c r="ER288" s="633"/>
      <c r="ES288" s="640"/>
      <c r="ET288" s="640"/>
      <c r="EU288" s="640"/>
      <c r="EV288" s="640"/>
      <c r="EW288" s="640"/>
    </row>
    <row r="289" spans="148:153">
      <c r="ER289" s="633"/>
      <c r="ES289" s="640"/>
      <c r="ET289" s="640"/>
      <c r="EU289" s="640"/>
      <c r="EV289" s="640"/>
      <c r="EW289" s="640"/>
    </row>
    <row r="290" spans="148:153">
      <c r="ER290" s="633"/>
      <c r="ES290" s="640"/>
      <c r="ET290" s="640"/>
      <c r="EU290" s="640"/>
      <c r="EV290" s="640"/>
      <c r="EW290" s="640"/>
    </row>
    <row r="291" spans="148:153">
      <c r="ER291" s="633"/>
      <c r="ES291" s="640"/>
      <c r="ET291" s="640"/>
      <c r="EU291" s="640"/>
      <c r="EV291" s="640"/>
      <c r="EW291" s="640"/>
    </row>
    <row r="292" spans="148:153">
      <c r="ER292" s="633"/>
      <c r="ES292" s="640"/>
      <c r="ET292" s="640"/>
      <c r="EU292" s="640"/>
      <c r="EV292" s="640"/>
      <c r="EW292" s="640"/>
    </row>
    <row r="293" spans="148:153">
      <c r="ER293" s="633"/>
      <c r="ES293" s="640"/>
      <c r="ET293" s="640"/>
      <c r="EU293" s="640"/>
      <c r="EV293" s="640"/>
      <c r="EW293" s="640"/>
    </row>
    <row r="294" spans="148:153">
      <c r="ER294" s="633"/>
      <c r="ES294" s="640"/>
      <c r="ET294" s="640"/>
      <c r="EU294" s="640"/>
      <c r="EV294" s="640"/>
      <c r="EW294" s="640"/>
    </row>
    <row r="295" spans="148:153">
      <c r="ER295" s="633"/>
      <c r="ES295" s="640"/>
      <c r="ET295" s="640"/>
      <c r="EU295" s="640"/>
      <c r="EV295" s="640"/>
      <c r="EW295" s="640"/>
    </row>
    <row r="296" spans="148:153">
      <c r="ER296" s="633"/>
      <c r="ES296" s="640"/>
      <c r="ET296" s="640"/>
      <c r="EU296" s="640"/>
      <c r="EV296" s="640"/>
      <c r="EW296" s="640"/>
    </row>
    <row r="297" spans="148:153">
      <c r="ER297" s="633"/>
      <c r="ES297" s="640"/>
      <c r="ET297" s="640"/>
      <c r="EU297" s="640"/>
      <c r="EV297" s="640"/>
      <c r="EW297" s="640"/>
    </row>
    <row r="298" spans="148:153">
      <c r="ER298" s="633"/>
      <c r="ES298" s="640"/>
      <c r="ET298" s="640"/>
      <c r="EU298" s="640"/>
      <c r="EV298" s="640"/>
      <c r="EW298" s="640"/>
    </row>
    <row r="299" spans="148:153">
      <c r="ER299" s="633"/>
      <c r="ES299" s="640"/>
      <c r="ET299" s="640"/>
      <c r="EU299" s="640"/>
      <c r="EV299" s="640"/>
      <c r="EW299" s="640"/>
    </row>
    <row r="300" spans="148:153">
      <c r="ES300" s="640"/>
      <c r="ET300" s="640"/>
      <c r="EU300" s="640"/>
      <c r="EV300" s="640"/>
      <c r="EW300" s="640"/>
    </row>
    <row r="301" spans="148:153">
      <c r="ES301" s="640"/>
      <c r="ET301" s="640"/>
      <c r="EU301" s="640"/>
      <c r="EV301" s="640"/>
      <c r="EW301" s="640"/>
    </row>
    <row r="302" spans="148:153">
      <c r="ES302" s="640"/>
      <c r="ET302" s="640"/>
      <c r="EU302" s="640"/>
      <c r="EV302" s="640"/>
      <c r="EW302" s="640"/>
    </row>
    <row r="303" spans="148:153">
      <c r="ES303" s="640"/>
      <c r="ET303" s="640"/>
      <c r="EU303" s="640"/>
      <c r="EV303" s="640"/>
      <c r="EW303" s="640"/>
    </row>
    <row r="304" spans="148:153">
      <c r="ES304" s="640"/>
      <c r="ET304" s="640"/>
      <c r="EU304" s="640"/>
      <c r="EV304" s="640"/>
      <c r="EW304" s="640"/>
    </row>
    <row r="305" spans="149:153">
      <c r="ES305" s="640"/>
      <c r="ET305" s="640"/>
      <c r="EU305" s="640"/>
      <c r="EV305" s="640"/>
      <c r="EW305" s="640"/>
    </row>
    <row r="306" spans="149:153">
      <c r="ES306" s="640"/>
      <c r="ET306" s="640"/>
      <c r="EU306" s="640"/>
      <c r="EV306" s="640"/>
      <c r="EW306" s="640"/>
    </row>
    <row r="307" spans="149:153">
      <c r="ES307" s="640"/>
      <c r="ET307" s="640"/>
      <c r="EU307" s="640"/>
      <c r="EV307" s="640"/>
      <c r="EW307" s="640"/>
    </row>
    <row r="308" spans="149:153">
      <c r="ES308" s="640"/>
      <c r="ET308" s="640"/>
      <c r="EU308" s="640"/>
      <c r="EV308" s="640"/>
      <c r="EW308" s="640"/>
    </row>
    <row r="309" spans="149:153">
      <c r="ES309" s="640"/>
      <c r="ET309" s="640"/>
      <c r="EU309" s="640"/>
      <c r="EV309" s="640"/>
      <c r="EW309" s="640"/>
    </row>
    <row r="310" spans="149:153">
      <c r="ES310" s="640"/>
      <c r="ET310" s="640"/>
      <c r="EU310" s="640"/>
      <c r="EV310" s="640"/>
      <c r="EW310" s="640"/>
    </row>
    <row r="311" spans="149:153">
      <c r="ES311" s="640"/>
      <c r="ET311" s="640"/>
      <c r="EU311" s="640"/>
      <c r="EV311" s="640"/>
      <c r="EW311" s="640"/>
    </row>
    <row r="312" spans="149:153">
      <c r="ES312" s="640"/>
      <c r="ET312" s="640"/>
      <c r="EU312" s="640"/>
      <c r="EV312" s="640"/>
      <c r="EW312" s="640"/>
    </row>
    <row r="313" spans="149:153">
      <c r="ES313" s="640"/>
      <c r="ET313" s="640"/>
      <c r="EU313" s="640"/>
      <c r="EV313" s="640"/>
      <c r="EW313" s="640"/>
    </row>
    <row r="314" spans="149:153">
      <c r="ES314" s="640"/>
      <c r="ET314" s="640"/>
      <c r="EU314" s="640"/>
      <c r="EV314" s="640"/>
      <c r="EW314" s="640"/>
    </row>
    <row r="315" spans="149:153">
      <c r="ES315" s="640"/>
      <c r="ET315" s="640"/>
      <c r="EU315" s="640"/>
      <c r="EV315" s="640"/>
      <c r="EW315" s="640"/>
    </row>
    <row r="316" spans="149:153">
      <c r="ES316" s="640"/>
      <c r="ET316" s="640"/>
      <c r="EU316" s="640"/>
      <c r="EV316" s="640"/>
      <c r="EW316" s="640"/>
    </row>
    <row r="317" spans="149:153">
      <c r="ES317" s="640"/>
      <c r="ET317" s="640"/>
      <c r="EU317" s="640"/>
      <c r="EV317" s="640"/>
      <c r="EW317" s="640"/>
    </row>
    <row r="318" spans="149:153">
      <c r="ES318" s="640"/>
      <c r="ET318" s="640"/>
      <c r="EU318" s="640"/>
      <c r="EV318" s="640"/>
      <c r="EW318" s="640"/>
    </row>
    <row r="319" spans="149:153">
      <c r="ES319" s="640"/>
      <c r="ET319" s="640"/>
      <c r="EU319" s="640"/>
      <c r="EV319" s="640"/>
      <c r="EW319" s="640"/>
    </row>
    <row r="320" spans="149:153">
      <c r="ES320" s="640"/>
      <c r="ET320" s="640"/>
      <c r="EU320" s="640"/>
      <c r="EV320" s="640"/>
      <c r="EW320" s="640"/>
    </row>
    <row r="321" spans="149:153">
      <c r="ES321" s="640"/>
      <c r="ET321" s="640"/>
      <c r="EU321" s="640"/>
      <c r="EV321" s="640"/>
      <c r="EW321" s="640"/>
    </row>
    <row r="322" spans="149:153">
      <c r="ES322" s="640"/>
      <c r="ET322" s="640"/>
      <c r="EU322" s="640"/>
      <c r="EV322" s="640"/>
      <c r="EW322" s="640"/>
    </row>
    <row r="323" spans="149:153">
      <c r="ES323" s="640"/>
      <c r="ET323" s="640"/>
      <c r="EU323" s="640"/>
      <c r="EV323" s="640"/>
      <c r="EW323" s="640"/>
    </row>
    <row r="324" spans="149:153">
      <c r="ES324" s="640"/>
      <c r="ET324" s="640"/>
      <c r="EU324" s="640"/>
      <c r="EV324" s="640"/>
      <c r="EW324" s="640"/>
    </row>
    <row r="325" spans="149:153">
      <c r="ES325" s="640"/>
      <c r="ET325" s="640"/>
      <c r="EU325" s="640"/>
      <c r="EV325" s="640"/>
      <c r="EW325" s="640"/>
    </row>
    <row r="326" spans="149:153">
      <c r="ES326" s="640"/>
      <c r="ET326" s="640"/>
      <c r="EU326" s="640"/>
      <c r="EV326" s="640"/>
      <c r="EW326" s="640"/>
    </row>
    <row r="327" spans="149:153">
      <c r="ES327" s="640"/>
      <c r="ET327" s="640"/>
      <c r="EU327" s="640"/>
      <c r="EV327" s="640"/>
      <c r="EW327" s="640"/>
    </row>
  </sheetData>
  <sheetProtection sheet="1" objects="1" scenarios="1"/>
  <mergeCells count="390">
    <mergeCell ref="F10:P10"/>
    <mergeCell ref="F11:P11"/>
    <mergeCell ref="AD11:AN11"/>
    <mergeCell ref="F13:H13"/>
    <mergeCell ref="N13:P13"/>
    <mergeCell ref="AD13:AN13"/>
    <mergeCell ref="S3:X3"/>
    <mergeCell ref="F5:G5"/>
    <mergeCell ref="H5:Y5"/>
    <mergeCell ref="F8:P8"/>
    <mergeCell ref="AD8:AN8"/>
    <mergeCell ref="D24:F24"/>
    <mergeCell ref="G24:I24"/>
    <mergeCell ref="J24:L24"/>
    <mergeCell ref="M24:O24"/>
    <mergeCell ref="P24:Q24"/>
    <mergeCell ref="R24:S24"/>
    <mergeCell ref="F15:H15"/>
    <mergeCell ref="N15:P15"/>
    <mergeCell ref="AD15:AN15"/>
    <mergeCell ref="R17:Y17"/>
    <mergeCell ref="D22:F22"/>
    <mergeCell ref="G22:I22"/>
    <mergeCell ref="J22:L22"/>
    <mergeCell ref="M22:O22"/>
    <mergeCell ref="P22:Q22"/>
    <mergeCell ref="D26:F26"/>
    <mergeCell ref="G26:I26"/>
    <mergeCell ref="J26:L26"/>
    <mergeCell ref="M26:O26"/>
    <mergeCell ref="P26:Q26"/>
    <mergeCell ref="R26:S26"/>
    <mergeCell ref="D25:F25"/>
    <mergeCell ref="G25:I25"/>
    <mergeCell ref="J25:L25"/>
    <mergeCell ref="M25:O25"/>
    <mergeCell ref="P25:Q25"/>
    <mergeCell ref="R25:S25"/>
    <mergeCell ref="D28:F28"/>
    <mergeCell ref="G28:I28"/>
    <mergeCell ref="J28:L28"/>
    <mergeCell ref="M28:O28"/>
    <mergeCell ref="P28:Q28"/>
    <mergeCell ref="R28:S28"/>
    <mergeCell ref="D27:F27"/>
    <mergeCell ref="G27:I27"/>
    <mergeCell ref="J27:L27"/>
    <mergeCell ref="M27:O27"/>
    <mergeCell ref="P27:Q27"/>
    <mergeCell ref="R27:S27"/>
    <mergeCell ref="D30:F30"/>
    <mergeCell ref="G30:I30"/>
    <mergeCell ref="J30:L30"/>
    <mergeCell ref="M30:O30"/>
    <mergeCell ref="P30:Q30"/>
    <mergeCell ref="R30:S30"/>
    <mergeCell ref="D29:F29"/>
    <mergeCell ref="G29:I29"/>
    <mergeCell ref="J29:L29"/>
    <mergeCell ref="M29:O29"/>
    <mergeCell ref="P29:Q29"/>
    <mergeCell ref="R29:S29"/>
    <mergeCell ref="D32:F32"/>
    <mergeCell ref="G32:I32"/>
    <mergeCell ref="J32:L32"/>
    <mergeCell ref="M32:O32"/>
    <mergeCell ref="P32:Q32"/>
    <mergeCell ref="R32:S32"/>
    <mergeCell ref="D31:F31"/>
    <mergeCell ref="G31:I31"/>
    <mergeCell ref="J31:L31"/>
    <mergeCell ref="M31:O31"/>
    <mergeCell ref="P31:Q31"/>
    <mergeCell ref="R31:S31"/>
    <mergeCell ref="D34:F34"/>
    <mergeCell ref="G34:I34"/>
    <mergeCell ref="J34:L34"/>
    <mergeCell ref="M34:O34"/>
    <mergeCell ref="P34:Q34"/>
    <mergeCell ref="R34:S34"/>
    <mergeCell ref="D33:F33"/>
    <mergeCell ref="G33:I33"/>
    <mergeCell ref="J33:L33"/>
    <mergeCell ref="M33:O33"/>
    <mergeCell ref="P33:Q33"/>
    <mergeCell ref="R33:S33"/>
    <mergeCell ref="D36:F36"/>
    <mergeCell ref="G36:I36"/>
    <mergeCell ref="J36:L36"/>
    <mergeCell ref="M36:O36"/>
    <mergeCell ref="P36:Q36"/>
    <mergeCell ref="R36:S36"/>
    <mergeCell ref="D35:F35"/>
    <mergeCell ref="G35:I35"/>
    <mergeCell ref="J35:L35"/>
    <mergeCell ref="M35:O35"/>
    <mergeCell ref="P35:Q35"/>
    <mergeCell ref="R35:S35"/>
    <mergeCell ref="D38:F38"/>
    <mergeCell ref="G38:I38"/>
    <mergeCell ref="J38:L38"/>
    <mergeCell ref="M38:O38"/>
    <mergeCell ref="P38:Q38"/>
    <mergeCell ref="R38:S38"/>
    <mergeCell ref="D37:F37"/>
    <mergeCell ref="G37:I37"/>
    <mergeCell ref="J37:L37"/>
    <mergeCell ref="M37:O37"/>
    <mergeCell ref="P37:Q37"/>
    <mergeCell ref="R37:S37"/>
    <mergeCell ref="D40:F40"/>
    <mergeCell ref="G40:I40"/>
    <mergeCell ref="J40:L40"/>
    <mergeCell ref="M40:O40"/>
    <mergeCell ref="P40:Q40"/>
    <mergeCell ref="R40:S40"/>
    <mergeCell ref="D39:F39"/>
    <mergeCell ref="G39:I39"/>
    <mergeCell ref="J39:L39"/>
    <mergeCell ref="M39:O39"/>
    <mergeCell ref="P39:Q39"/>
    <mergeCell ref="R39:S39"/>
    <mergeCell ref="D42:F42"/>
    <mergeCell ref="G42:I42"/>
    <mergeCell ref="J42:L42"/>
    <mergeCell ref="M42:O42"/>
    <mergeCell ref="P42:Q42"/>
    <mergeCell ref="R42:S42"/>
    <mergeCell ref="D41:F41"/>
    <mergeCell ref="G41:I41"/>
    <mergeCell ref="J41:L41"/>
    <mergeCell ref="M41:O41"/>
    <mergeCell ref="P41:Q41"/>
    <mergeCell ref="R41:S41"/>
    <mergeCell ref="D44:F44"/>
    <mergeCell ref="G44:I44"/>
    <mergeCell ref="J44:L44"/>
    <mergeCell ref="M44:O44"/>
    <mergeCell ref="P44:Q44"/>
    <mergeCell ref="R44:S44"/>
    <mergeCell ref="D43:F43"/>
    <mergeCell ref="G43:I43"/>
    <mergeCell ref="J43:L43"/>
    <mergeCell ref="M43:O43"/>
    <mergeCell ref="P43:Q43"/>
    <mergeCell ref="R43:S43"/>
    <mergeCell ref="D46:F46"/>
    <mergeCell ref="G46:I46"/>
    <mergeCell ref="J46:L46"/>
    <mergeCell ref="M46:O46"/>
    <mergeCell ref="P46:Q46"/>
    <mergeCell ref="R46:S46"/>
    <mergeCell ref="D45:F45"/>
    <mergeCell ref="G45:I45"/>
    <mergeCell ref="J45:L45"/>
    <mergeCell ref="M45:O45"/>
    <mergeCell ref="P45:Q45"/>
    <mergeCell ref="R45:S45"/>
    <mergeCell ref="D48:F48"/>
    <mergeCell ref="G48:I48"/>
    <mergeCell ref="J48:L48"/>
    <mergeCell ref="M48:O48"/>
    <mergeCell ref="P48:Q48"/>
    <mergeCell ref="R48:S48"/>
    <mergeCell ref="D47:F47"/>
    <mergeCell ref="G47:I47"/>
    <mergeCell ref="J47:L47"/>
    <mergeCell ref="M47:O47"/>
    <mergeCell ref="P47:Q47"/>
    <mergeCell ref="R47:S47"/>
    <mergeCell ref="N110:P110"/>
    <mergeCell ref="T110:X110"/>
    <mergeCell ref="C111:Y111"/>
    <mergeCell ref="N112:P112"/>
    <mergeCell ref="T112:X112"/>
    <mergeCell ref="N113:P113"/>
    <mergeCell ref="T113:X113"/>
    <mergeCell ref="C50:I50"/>
    <mergeCell ref="J50:L50"/>
    <mergeCell ref="M50:O50"/>
    <mergeCell ref="P50:Q50"/>
    <mergeCell ref="R50:W50"/>
    <mergeCell ref="B52:Q52"/>
    <mergeCell ref="U52:X52"/>
    <mergeCell ref="T115:X115"/>
    <mergeCell ref="H119:J119"/>
    <mergeCell ref="N119:P119"/>
    <mergeCell ref="T119:W119"/>
    <mergeCell ref="Y119:Z119"/>
    <mergeCell ref="H121:J121"/>
    <mergeCell ref="N121:P121"/>
    <mergeCell ref="T121:W121"/>
    <mergeCell ref="Y121:Z121"/>
    <mergeCell ref="I126:K126"/>
    <mergeCell ref="H127:J127"/>
    <mergeCell ref="N127:P127"/>
    <mergeCell ref="T127:W127"/>
    <mergeCell ref="Y127:Z127"/>
    <mergeCell ref="H129:J129"/>
    <mergeCell ref="N129:P129"/>
    <mergeCell ref="T129:W129"/>
    <mergeCell ref="H123:J123"/>
    <mergeCell ref="N123:P123"/>
    <mergeCell ref="T123:W123"/>
    <mergeCell ref="Y123:Z123"/>
    <mergeCell ref="H125:J125"/>
    <mergeCell ref="N125:P125"/>
    <mergeCell ref="T125:W125"/>
    <mergeCell ref="Y125:Z125"/>
    <mergeCell ref="Y139:Z139"/>
    <mergeCell ref="N141:P141"/>
    <mergeCell ref="T141:W141"/>
    <mergeCell ref="Y141:Z141"/>
    <mergeCell ref="G133:L133"/>
    <mergeCell ref="N133:P133"/>
    <mergeCell ref="T133:W133"/>
    <mergeCell ref="Y133:Z133"/>
    <mergeCell ref="H137:J137"/>
    <mergeCell ref="N137:P137"/>
    <mergeCell ref="T137:W137"/>
    <mergeCell ref="Y137:Z137"/>
    <mergeCell ref="T143:X143"/>
    <mergeCell ref="B148:G148"/>
    <mergeCell ref="H148:K148"/>
    <mergeCell ref="B150:G150"/>
    <mergeCell ref="H150:K150"/>
    <mergeCell ref="B152:G152"/>
    <mergeCell ref="H152:K152"/>
    <mergeCell ref="H139:J139"/>
    <mergeCell ref="N139:P139"/>
    <mergeCell ref="T139:W139"/>
    <mergeCell ref="B154:G154"/>
    <mergeCell ref="H154:K154"/>
    <mergeCell ref="B182:C183"/>
    <mergeCell ref="M182:Q183"/>
    <mergeCell ref="F185:Q185"/>
    <mergeCell ref="S185:AA227"/>
    <mergeCell ref="F187:Q187"/>
    <mergeCell ref="F188:Q188"/>
    <mergeCell ref="F190:M190"/>
    <mergeCell ref="O190:Q190"/>
    <mergeCell ref="F192:Q192"/>
    <mergeCell ref="F194:Q194"/>
    <mergeCell ref="F196:Q196"/>
    <mergeCell ref="F198:Q198"/>
    <mergeCell ref="D201:F201"/>
    <mergeCell ref="G201:I201"/>
    <mergeCell ref="J201:L201"/>
    <mergeCell ref="M201:O201"/>
    <mergeCell ref="P201:Q201"/>
    <mergeCell ref="D203:F203"/>
    <mergeCell ref="G203:I203"/>
    <mergeCell ref="J203:L203"/>
    <mergeCell ref="M203:O203"/>
    <mergeCell ref="P203:Q203"/>
    <mergeCell ref="D204:F204"/>
    <mergeCell ref="G204:I204"/>
    <mergeCell ref="J204:L204"/>
    <mergeCell ref="M204:O204"/>
    <mergeCell ref="P204:Q204"/>
    <mergeCell ref="D205:F205"/>
    <mergeCell ref="G205:I205"/>
    <mergeCell ref="J205:L205"/>
    <mergeCell ref="M205:O205"/>
    <mergeCell ref="P205:Q205"/>
    <mergeCell ref="D206:F206"/>
    <mergeCell ref="G206:I206"/>
    <mergeCell ref="J206:L206"/>
    <mergeCell ref="M206:O206"/>
    <mergeCell ref="P206:Q206"/>
    <mergeCell ref="D207:F207"/>
    <mergeCell ref="G207:I207"/>
    <mergeCell ref="J207:L207"/>
    <mergeCell ref="M207:O207"/>
    <mergeCell ref="P207:Q207"/>
    <mergeCell ref="D208:F208"/>
    <mergeCell ref="G208:I208"/>
    <mergeCell ref="J208:L208"/>
    <mergeCell ref="M208:O208"/>
    <mergeCell ref="P208:Q208"/>
    <mergeCell ref="D209:F209"/>
    <mergeCell ref="G209:I209"/>
    <mergeCell ref="J209:L209"/>
    <mergeCell ref="M209:O209"/>
    <mergeCell ref="P209:Q209"/>
    <mergeCell ref="D210:F210"/>
    <mergeCell ref="G210:I210"/>
    <mergeCell ref="J210:L210"/>
    <mergeCell ref="M210:O210"/>
    <mergeCell ref="P210:Q210"/>
    <mergeCell ref="D211:F211"/>
    <mergeCell ref="G211:I211"/>
    <mergeCell ref="J211:L211"/>
    <mergeCell ref="M211:O211"/>
    <mergeCell ref="P211:Q211"/>
    <mergeCell ref="D212:F212"/>
    <mergeCell ref="G212:I212"/>
    <mergeCell ref="J212:L212"/>
    <mergeCell ref="M212:O212"/>
    <mergeCell ref="P212:Q212"/>
    <mergeCell ref="D213:F213"/>
    <mergeCell ref="G213:I213"/>
    <mergeCell ref="J213:L213"/>
    <mergeCell ref="M213:O213"/>
    <mergeCell ref="P213:Q213"/>
    <mergeCell ref="D214:F214"/>
    <mergeCell ref="G214:I214"/>
    <mergeCell ref="J214:L214"/>
    <mergeCell ref="M214:O214"/>
    <mergeCell ref="P214:Q214"/>
    <mergeCell ref="D215:F215"/>
    <mergeCell ref="G215:I215"/>
    <mergeCell ref="J215:L215"/>
    <mergeCell ref="M215:O215"/>
    <mergeCell ref="P215:Q215"/>
    <mergeCell ref="D216:F216"/>
    <mergeCell ref="G216:I216"/>
    <mergeCell ref="J216:L216"/>
    <mergeCell ref="M216:O216"/>
    <mergeCell ref="P216:Q216"/>
    <mergeCell ref="D217:F217"/>
    <mergeCell ref="G217:I217"/>
    <mergeCell ref="J217:L217"/>
    <mergeCell ref="M217:O217"/>
    <mergeCell ref="P217:Q217"/>
    <mergeCell ref="D218:F218"/>
    <mergeCell ref="G218:I218"/>
    <mergeCell ref="J218:L218"/>
    <mergeCell ref="M218:O218"/>
    <mergeCell ref="P218:Q218"/>
    <mergeCell ref="D219:F219"/>
    <mergeCell ref="G219:I219"/>
    <mergeCell ref="J219:L219"/>
    <mergeCell ref="M219:O219"/>
    <mergeCell ref="P219:Q219"/>
    <mergeCell ref="D220:F220"/>
    <mergeCell ref="G220:I220"/>
    <mergeCell ref="J220:L220"/>
    <mergeCell ref="M220:O220"/>
    <mergeCell ref="P220:Q220"/>
    <mergeCell ref="D221:F221"/>
    <mergeCell ref="G221:I221"/>
    <mergeCell ref="J221:L221"/>
    <mergeCell ref="M221:O221"/>
    <mergeCell ref="P221:Q221"/>
    <mergeCell ref="D222:F222"/>
    <mergeCell ref="G222:I222"/>
    <mergeCell ref="J222:L222"/>
    <mergeCell ref="M222:O222"/>
    <mergeCell ref="P222:Q222"/>
    <mergeCell ref="P225:Q225"/>
    <mergeCell ref="D226:F226"/>
    <mergeCell ref="G226:I226"/>
    <mergeCell ref="J226:L226"/>
    <mergeCell ref="M226:O226"/>
    <mergeCell ref="P226:Q226"/>
    <mergeCell ref="D223:F223"/>
    <mergeCell ref="G223:I223"/>
    <mergeCell ref="J223:L223"/>
    <mergeCell ref="M223:O223"/>
    <mergeCell ref="P223:Q223"/>
    <mergeCell ref="D224:F224"/>
    <mergeCell ref="G224:I224"/>
    <mergeCell ref="J224:L224"/>
    <mergeCell ref="M224:O224"/>
    <mergeCell ref="P224:Q224"/>
    <mergeCell ref="E244:J244"/>
    <mergeCell ref="E245:J245"/>
    <mergeCell ref="E246:J246"/>
    <mergeCell ref="H248:H249"/>
    <mergeCell ref="R52:S52"/>
    <mergeCell ref="B53:O53"/>
    <mergeCell ref="P53:Q53"/>
    <mergeCell ref="R53:S53"/>
    <mergeCell ref="E238:J238"/>
    <mergeCell ref="E239:J239"/>
    <mergeCell ref="E240:J240"/>
    <mergeCell ref="E241:J241"/>
    <mergeCell ref="E242:J242"/>
    <mergeCell ref="E243:J243"/>
    <mergeCell ref="D227:F227"/>
    <mergeCell ref="G227:I227"/>
    <mergeCell ref="J227:L227"/>
    <mergeCell ref="M227:O227"/>
    <mergeCell ref="P227:Q227"/>
    <mergeCell ref="E237:J237"/>
    <mergeCell ref="D225:F225"/>
    <mergeCell ref="G225:I225"/>
    <mergeCell ref="J225:L225"/>
    <mergeCell ref="M225:O225"/>
  </mergeCells>
  <conditionalFormatting sqref="AA24:AA48 AC24:AC48">
    <cfRule type="cellIs" dxfId="77" priority="58" stopIfTrue="1" operator="between">
      <formula>"y"</formula>
      <formula>"y"</formula>
    </cfRule>
  </conditionalFormatting>
  <conditionalFormatting sqref="U24">
    <cfRule type="cellIs" dxfId="76" priority="57" stopIfTrue="1" operator="equal">
      <formula>"y"</formula>
    </cfRule>
  </conditionalFormatting>
  <conditionalFormatting sqref="Y24">
    <cfRule type="cellIs" dxfId="75" priority="55" stopIfTrue="1" operator="lessThan">
      <formula>11</formula>
    </cfRule>
  </conditionalFormatting>
  <conditionalFormatting sqref="W24">
    <cfRule type="cellIs" dxfId="74" priority="54" stopIfTrue="1" operator="equal">
      <formula>"y"</formula>
    </cfRule>
  </conditionalFormatting>
  <conditionalFormatting sqref="Z24">
    <cfRule type="expression" dxfId="73" priority="52" stopIfTrue="1">
      <formula>"if(y249&lt;.1)"</formula>
    </cfRule>
  </conditionalFormatting>
  <conditionalFormatting sqref="Z24">
    <cfRule type="cellIs" dxfId="72" priority="51" operator="lessThan">
      <formula>0.01</formula>
    </cfRule>
  </conditionalFormatting>
  <conditionalFormatting sqref="V24">
    <cfRule type="cellIs" dxfId="71" priority="50" stopIfTrue="1" operator="equal">
      <formula>"y"</formula>
    </cfRule>
  </conditionalFormatting>
  <conditionalFormatting sqref="X24">
    <cfRule type="cellIs" dxfId="70" priority="49" stopIfTrue="1" operator="equal">
      <formula>"y"</formula>
    </cfRule>
  </conditionalFormatting>
  <conditionalFormatting sqref="C24">
    <cfRule type="cellIs" dxfId="69" priority="47" stopIfTrue="1" operator="equal">
      <formula>0</formula>
    </cfRule>
  </conditionalFormatting>
  <conditionalFormatting sqref="Z48">
    <cfRule type="expression" dxfId="68" priority="44" stopIfTrue="1">
      <formula>"if(y249&lt;.1)"</formula>
    </cfRule>
  </conditionalFormatting>
  <conditionalFormatting sqref="Z48">
    <cfRule type="cellIs" dxfId="67" priority="43" operator="lessThan">
      <formula>0.01</formula>
    </cfRule>
  </conditionalFormatting>
  <conditionalFormatting sqref="Z25:Z47">
    <cfRule type="expression" dxfId="66" priority="35" stopIfTrue="1">
      <formula>"if(y249&lt;.1)"</formula>
    </cfRule>
  </conditionalFormatting>
  <conditionalFormatting sqref="Z25:Z47">
    <cfRule type="cellIs" dxfId="65" priority="34" operator="lessThan">
      <formula>0.01</formula>
    </cfRule>
  </conditionalFormatting>
  <conditionalFormatting sqref="J50:L50">
    <cfRule type="cellIs" dxfId="64" priority="25" operator="equal">
      <formula>0.05</formula>
    </cfRule>
  </conditionalFormatting>
  <conditionalFormatting sqref="B52:Q52">
    <cfRule type="expression" dxfId="63" priority="23">
      <formula>P53&gt;0</formula>
    </cfRule>
    <cfRule type="expression" dxfId="62" priority="24">
      <formula>"if(ac259+$R$5)=0)"</formula>
    </cfRule>
  </conditionalFormatting>
  <conditionalFormatting sqref="Y49:Z53">
    <cfRule type="cellIs" dxfId="61" priority="22" stopIfTrue="1" operator="between">
      <formula>"y"</formula>
      <formula>"y"</formula>
    </cfRule>
  </conditionalFormatting>
  <conditionalFormatting sqref="U25:U48">
    <cfRule type="cellIs" dxfId="60" priority="20" stopIfTrue="1" operator="equal">
      <formula>"y"</formula>
    </cfRule>
  </conditionalFormatting>
  <conditionalFormatting sqref="Y25:Y48">
    <cfRule type="cellIs" dxfId="59" priority="18" stopIfTrue="1" operator="lessThan">
      <formula>11</formula>
    </cfRule>
  </conditionalFormatting>
  <conditionalFormatting sqref="W25:W48">
    <cfRule type="cellIs" dxfId="58" priority="17" stopIfTrue="1" operator="equal">
      <formula>"y"</formula>
    </cfRule>
  </conditionalFormatting>
  <conditionalFormatting sqref="V25:V48">
    <cfRule type="cellIs" dxfId="57" priority="16" stopIfTrue="1" operator="equal">
      <formula>"y"</formula>
    </cfRule>
  </conditionalFormatting>
  <conditionalFormatting sqref="X25:X48">
    <cfRule type="cellIs" dxfId="56" priority="15" stopIfTrue="1" operator="equal">
      <formula>"y"</formula>
    </cfRule>
  </conditionalFormatting>
  <conditionalFormatting sqref="C25:C48">
    <cfRule type="cellIs" dxfId="55" priority="14" stopIfTrue="1" operator="equal">
      <formula>0</formula>
    </cfRule>
  </conditionalFormatting>
  <conditionalFormatting sqref="P24">
    <cfRule type="cellIs" dxfId="54" priority="10" stopIfTrue="1" operator="greaterThan">
      <formula>499999</formula>
    </cfRule>
  </conditionalFormatting>
  <conditionalFormatting sqref="P24:Q24">
    <cfRule type="cellIs" dxfId="53" priority="9" stopIfTrue="1" operator="equal">
      <formula>0.0000001</formula>
    </cfRule>
  </conditionalFormatting>
  <conditionalFormatting sqref="R24">
    <cfRule type="expression" dxfId="52" priority="8" stopIfTrue="1">
      <formula>R24&gt;EW253</formula>
    </cfRule>
  </conditionalFormatting>
  <conditionalFormatting sqref="R24">
    <cfRule type="expression" dxfId="51" priority="7" stopIfTrue="1">
      <formula>R24&gt;EW253</formula>
    </cfRule>
  </conditionalFormatting>
  <conditionalFormatting sqref="R24">
    <cfRule type="expression" dxfId="50" priority="6" stopIfTrue="1">
      <formula>P24&lt;1</formula>
    </cfRule>
  </conditionalFormatting>
  <conditionalFormatting sqref="P25:P48">
    <cfRule type="cellIs" dxfId="49" priority="5" stopIfTrue="1" operator="greaterThan">
      <formula>499999</formula>
    </cfRule>
  </conditionalFormatting>
  <conditionalFormatting sqref="P25:Q48">
    <cfRule type="cellIs" dxfId="48" priority="4" stopIfTrue="1" operator="equal">
      <formula>0.0000001</formula>
    </cfRule>
  </conditionalFormatting>
  <conditionalFormatting sqref="R25:R48">
    <cfRule type="expression" dxfId="47" priority="3" stopIfTrue="1">
      <formula>R25&gt;EW254</formula>
    </cfRule>
  </conditionalFormatting>
  <conditionalFormatting sqref="R25:R48">
    <cfRule type="expression" dxfId="46" priority="2" stopIfTrue="1">
      <formula>R25&gt;EW254</formula>
    </cfRule>
  </conditionalFormatting>
  <conditionalFormatting sqref="R25:R48">
    <cfRule type="expression" dxfId="45" priority="1" stopIfTrue="1">
      <formula>P25&lt;1</formula>
    </cfRule>
  </conditionalFormatting>
  <pageMargins left="0.25" right="0" top="0.25" bottom="0" header="0.3" footer="0.3"/>
  <pageSetup scale="8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334"/>
  <sheetViews>
    <sheetView zoomScaleNormal="100" workbookViewId="0">
      <selection activeCell="F8" sqref="F8:P8"/>
    </sheetView>
  </sheetViews>
  <sheetFormatPr defaultColWidth="9.140625" defaultRowHeight="12.75"/>
  <cols>
    <col min="1" max="1" width="1.5703125" style="244" customWidth="1"/>
    <col min="2" max="2" width="3.5703125" style="245" customWidth="1"/>
    <col min="3" max="3" width="7.140625" style="245" customWidth="1"/>
    <col min="4" max="4" width="1.28515625" style="245" customWidth="1"/>
    <col min="5" max="6" width="6.140625" style="245" customWidth="1"/>
    <col min="7" max="7" width="5.7109375" style="245" customWidth="1"/>
    <col min="8" max="8" width="5" style="245" customWidth="1"/>
    <col min="9" max="9" width="4.7109375" style="245" customWidth="1"/>
    <col min="10" max="10" width="5.5703125" style="245" customWidth="1"/>
    <col min="11" max="11" width="4.85546875" style="245" customWidth="1"/>
    <col min="12" max="12" width="4.28515625" style="245" customWidth="1"/>
    <col min="13" max="13" width="2.28515625" style="245" customWidth="1"/>
    <col min="14" max="14" width="5.7109375" style="245" customWidth="1"/>
    <col min="15" max="15" width="5" style="245" customWidth="1"/>
    <col min="16" max="16" width="5.7109375" style="245" customWidth="1"/>
    <col min="17" max="17" width="5.85546875" style="245" customWidth="1"/>
    <col min="18" max="18" width="6.140625" style="245" customWidth="1"/>
    <col min="19" max="19" width="5.28515625" style="245" customWidth="1"/>
    <col min="20" max="20" width="0.42578125" style="245" customWidth="1"/>
    <col min="21" max="21" width="5.42578125" style="245" customWidth="1"/>
    <col min="22" max="22" width="5.140625" style="245" customWidth="1"/>
    <col min="23" max="23" width="5.7109375" style="245" customWidth="1"/>
    <col min="24" max="24" width="5.42578125" style="245" customWidth="1"/>
    <col min="25" max="25" width="9.7109375" style="245" customWidth="1"/>
    <col min="26" max="26" width="9.42578125" style="245" customWidth="1"/>
    <col min="27" max="27" width="6.85546875" style="245" hidden="1" customWidth="1"/>
    <col min="28" max="28" width="1.28515625" style="629" customWidth="1"/>
    <col min="29" max="29" width="93.140625" style="247" customWidth="1"/>
    <col min="30" max="31" width="12.85546875" style="247" customWidth="1"/>
    <col min="32" max="32" width="8.140625" style="247" customWidth="1"/>
    <col min="33" max="33" width="22.140625" style="248" customWidth="1"/>
    <col min="34" max="39" width="10.42578125" style="249" customWidth="1"/>
    <col min="40" max="55" width="9.140625" style="248"/>
    <col min="56" max="72" width="9.140625" style="250"/>
    <col min="73" max="134" width="9.140625" style="251"/>
    <col min="135" max="135" width="10.140625" style="251" bestFit="1" customWidth="1"/>
    <col min="136" max="138" width="9.140625" style="251"/>
    <col min="139" max="139" width="20" style="251" customWidth="1"/>
    <col min="140" max="144" width="9.140625" style="251"/>
    <col min="145" max="153" width="9.140625" style="247"/>
    <col min="154" max="16384" width="9.140625" style="245"/>
  </cols>
  <sheetData>
    <row r="1" spans="1:153" ht="120" customHeight="1">
      <c r="N1" s="635"/>
      <c r="O1" s="1019"/>
      <c r="P1" s="1019"/>
      <c r="Q1" s="1019"/>
      <c r="R1" s="1019"/>
      <c r="S1" s="1019"/>
      <c r="T1" s="635"/>
      <c r="U1" s="635"/>
      <c r="V1" s="635"/>
      <c r="W1" s="635"/>
      <c r="X1" s="635"/>
      <c r="AC1" s="246"/>
    </row>
    <row r="2" spans="1:153">
      <c r="A2" s="245"/>
      <c r="H2" s="252" t="s">
        <v>2</v>
      </c>
      <c r="L2" s="253">
        <v>20</v>
      </c>
      <c r="N2" s="251" t="s">
        <v>2</v>
      </c>
      <c r="O2" s="1019"/>
      <c r="P2" s="1019"/>
      <c r="Q2" s="1019"/>
      <c r="R2" s="1019"/>
      <c r="S2" s="1019"/>
      <c r="T2" s="635"/>
      <c r="U2" s="635"/>
      <c r="V2" s="635"/>
      <c r="W2" s="300" t="s">
        <v>2</v>
      </c>
      <c r="X2" s="300"/>
      <c r="Y2" s="255">
        <f>H149</f>
        <v>750</v>
      </c>
      <c r="AC2" s="246"/>
    </row>
    <row r="3" spans="1:153" ht="9.75" customHeight="1">
      <c r="A3" s="245"/>
      <c r="H3" s="252" t="s">
        <v>2</v>
      </c>
      <c r="N3" s="635"/>
      <c r="O3" s="635"/>
      <c r="P3" s="635"/>
      <c r="Q3" s="635"/>
      <c r="R3" s="635"/>
      <c r="S3" s="1078" t="s">
        <v>2</v>
      </c>
      <c r="T3" s="1078"/>
      <c r="U3" s="1078"/>
      <c r="V3" s="1078"/>
      <c r="W3" s="1078"/>
      <c r="X3" s="1078"/>
      <c r="Y3" s="257">
        <v>1</v>
      </c>
      <c r="AC3" s="246"/>
    </row>
    <row r="4" spans="1:153" ht="24.75" customHeight="1" thickBot="1">
      <c r="A4" s="245"/>
      <c r="F4" s="258" t="s">
        <v>2</v>
      </c>
      <c r="N4" s="259"/>
      <c r="AC4" s="246"/>
      <c r="EE4" s="260">
        <f ca="1">TODAY()</f>
        <v>42260</v>
      </c>
      <c r="EO4" s="251"/>
      <c r="EP4" s="251"/>
      <c r="EQ4" s="251"/>
      <c r="ER4" s="251"/>
      <c r="ES4" s="251"/>
      <c r="ET4" s="251"/>
      <c r="EU4" s="251"/>
      <c r="EV4" s="251"/>
      <c r="EW4" s="251"/>
    </row>
    <row r="5" spans="1:153" ht="21" thickBot="1">
      <c r="A5" s="245"/>
      <c r="F5" s="1080" t="s">
        <v>2</v>
      </c>
      <c r="G5" s="1081"/>
      <c r="H5" s="1082" t="s">
        <v>2</v>
      </c>
      <c r="I5" s="1083"/>
      <c r="J5" s="1083"/>
      <c r="K5" s="1083"/>
      <c r="L5" s="1083"/>
      <c r="M5" s="1083"/>
      <c r="N5" s="1083"/>
      <c r="O5" s="1083"/>
      <c r="P5" s="1083"/>
      <c r="Q5" s="1083"/>
      <c r="R5" s="1083"/>
      <c r="S5" s="1083"/>
      <c r="T5" s="1083"/>
      <c r="U5" s="1083"/>
      <c r="V5" s="1083"/>
      <c r="W5" s="1083"/>
      <c r="X5" s="1083"/>
      <c r="Y5" s="1084"/>
      <c r="AC5" s="246"/>
      <c r="EO5" s="251"/>
      <c r="EP5" s="251"/>
      <c r="EQ5" s="251"/>
      <c r="ER5" s="251"/>
      <c r="ES5" s="251"/>
      <c r="ET5" s="251"/>
      <c r="EU5" s="251"/>
      <c r="EV5" s="251"/>
      <c r="EW5" s="251"/>
    </row>
    <row r="6" spans="1:153" ht="9" customHeight="1" thickBot="1">
      <c r="AC6" s="246"/>
      <c r="AD6" s="262" t="s">
        <v>59</v>
      </c>
      <c r="AE6" s="262"/>
      <c r="AF6" s="262"/>
      <c r="EO6" s="251"/>
      <c r="EP6" s="251"/>
      <c r="EQ6" s="251"/>
      <c r="ER6" s="251"/>
      <c r="ES6" s="251"/>
      <c r="ET6" s="251"/>
      <c r="EU6" s="251"/>
      <c r="EV6" s="251"/>
      <c r="EW6" s="251"/>
    </row>
    <row r="7" spans="1:153" ht="13.5" hidden="1" thickBot="1">
      <c r="AC7" s="246"/>
      <c r="EO7" s="251"/>
      <c r="EP7" s="251"/>
      <c r="EQ7" s="251"/>
      <c r="ER7" s="251"/>
      <c r="ES7" s="251"/>
      <c r="ET7" s="251"/>
      <c r="EU7" s="251"/>
      <c r="EV7" s="251"/>
      <c r="EW7" s="251"/>
    </row>
    <row r="8" spans="1:153" ht="36" customHeight="1" thickBot="1">
      <c r="E8" s="410" t="s">
        <v>441</v>
      </c>
      <c r="F8" s="1072" t="str">
        <f>PROPOSITION!F8</f>
        <v xml:space="preserve"> </v>
      </c>
      <c r="G8" s="1073"/>
      <c r="H8" s="1073"/>
      <c r="I8" s="1073"/>
      <c r="J8" s="1073"/>
      <c r="K8" s="1073"/>
      <c r="L8" s="1073"/>
      <c r="M8" s="1073"/>
      <c r="N8" s="1073"/>
      <c r="O8" s="1073"/>
      <c r="P8" s="1074"/>
      <c r="T8" s="263" t="s">
        <v>434</v>
      </c>
      <c r="U8" s="1139" t="str">
        <f>PROPOSITION!U8</f>
        <v xml:space="preserve"> </v>
      </c>
      <c r="V8" s="1140"/>
      <c r="W8" s="1140"/>
      <c r="X8" s="1140"/>
      <c r="Y8" s="1141"/>
      <c r="AA8" s="264">
        <f>IF($N$15&gt;24999,5,0)</f>
        <v>0</v>
      </c>
      <c r="AC8" s="246"/>
      <c r="AD8" s="1085" t="str">
        <f>PROPOSITION!K166</f>
        <v xml:space="preserve"> </v>
      </c>
      <c r="AE8" s="1085"/>
      <c r="AF8" s="1085"/>
      <c r="AG8" s="1085"/>
      <c r="AH8" s="1085"/>
      <c r="AI8" s="1085"/>
      <c r="AJ8" s="1085"/>
      <c r="AK8" s="1085"/>
      <c r="AL8" s="1085"/>
      <c r="AM8" s="1085"/>
      <c r="AN8" s="1085"/>
      <c r="EO8" s="251"/>
      <c r="EP8" s="251"/>
      <c r="EQ8" s="251"/>
      <c r="ER8" s="251"/>
      <c r="ES8" s="251"/>
      <c r="ET8" s="251"/>
      <c r="EU8" s="251"/>
      <c r="EV8" s="251"/>
      <c r="EW8" s="251"/>
    </row>
    <row r="9" spans="1:153" ht="6.75" customHeight="1" thickBot="1">
      <c r="E9" s="263"/>
      <c r="T9" s="263"/>
      <c r="W9" s="245" t="s">
        <v>2</v>
      </c>
      <c r="AA9" s="264"/>
      <c r="EO9" s="251"/>
      <c r="EP9" s="251"/>
      <c r="EQ9" s="251"/>
      <c r="ER9" s="251"/>
      <c r="ES9" s="251"/>
      <c r="ET9" s="251"/>
      <c r="EU9" s="251"/>
      <c r="EV9" s="251"/>
      <c r="EW9" s="251"/>
    </row>
    <row r="10" spans="1:153" ht="15.75" customHeight="1" thickBot="1">
      <c r="E10" s="263" t="s">
        <v>442</v>
      </c>
      <c r="F10" s="873" t="str">
        <f>PROPOSITION!F10</f>
        <v xml:space="preserve"> </v>
      </c>
      <c r="G10" s="874"/>
      <c r="H10" s="874"/>
      <c r="I10" s="874"/>
      <c r="J10" s="874"/>
      <c r="K10" s="874"/>
      <c r="L10" s="874"/>
      <c r="M10" s="874"/>
      <c r="N10" s="874"/>
      <c r="O10" s="874"/>
      <c r="P10" s="875"/>
      <c r="Q10" s="1041" t="s">
        <v>579</v>
      </c>
      <c r="R10" s="1034"/>
      <c r="S10" s="1034"/>
      <c r="T10" s="1038"/>
      <c r="U10" s="1142">
        <f>PROPOSITION!U10+30</f>
        <v>30</v>
      </c>
      <c r="V10" s="1143"/>
      <c r="W10" s="1143"/>
      <c r="X10" s="1143"/>
      <c r="Y10" s="1144"/>
      <c r="AA10" s="264">
        <f>IF($N$15&gt;0,10,0)</f>
        <v>0</v>
      </c>
      <c r="AC10" s="514" t="s">
        <v>2</v>
      </c>
      <c r="AD10" s="262" t="s">
        <v>58</v>
      </c>
      <c r="AE10" s="262"/>
      <c r="AF10" s="262"/>
      <c r="EO10" s="251"/>
      <c r="EP10" s="251"/>
      <c r="EQ10" s="251"/>
      <c r="ER10" s="251"/>
      <c r="ES10" s="251"/>
      <c r="ET10" s="251"/>
      <c r="EU10" s="251"/>
      <c r="EV10" s="251"/>
      <c r="EW10" s="251"/>
    </row>
    <row r="11" spans="1:153" ht="17.25" customHeight="1" thickBot="1">
      <c r="E11" s="544" t="s">
        <v>429</v>
      </c>
      <c r="F11" s="1072" t="str">
        <f>PROPOSITION!F11</f>
        <v xml:space="preserve"> </v>
      </c>
      <c r="G11" s="1145"/>
      <c r="H11" s="1145"/>
      <c r="I11" s="1145"/>
      <c r="J11" s="1145"/>
      <c r="K11" s="1145"/>
      <c r="L11" s="1145"/>
      <c r="M11" s="1145"/>
      <c r="N11" s="1145"/>
      <c r="O11" s="1145"/>
      <c r="P11" s="1146"/>
      <c r="T11" s="263" t="s">
        <v>436</v>
      </c>
      <c r="U11" s="1139" t="str">
        <f>PROPOSITION!U11</f>
        <v xml:space="preserve"> </v>
      </c>
      <c r="V11" s="1140"/>
      <c r="W11" s="1140"/>
      <c r="X11" s="1140"/>
      <c r="Y11" s="1141"/>
      <c r="AA11" s="264">
        <f>IF($N$15&gt;149999,0,0)</f>
        <v>0</v>
      </c>
      <c r="AC11" s="246"/>
      <c r="AD11" s="1068" t="str">
        <f>PROPOSITION!K134</f>
        <v xml:space="preserve"> </v>
      </c>
      <c r="AE11" s="1068"/>
      <c r="AF11" s="1068"/>
      <c r="AG11" s="1068"/>
      <c r="AH11" s="1068"/>
      <c r="AI11" s="1068"/>
      <c r="AJ11" s="1068"/>
      <c r="AK11" s="1068"/>
      <c r="AL11" s="1068"/>
      <c r="AM11" s="1068"/>
      <c r="AN11" s="1068"/>
      <c r="EO11" s="251"/>
      <c r="EP11" s="251"/>
      <c r="EQ11" s="251"/>
      <c r="ER11" s="251"/>
      <c r="ES11" s="251"/>
      <c r="ET11" s="251"/>
      <c r="EU11" s="251"/>
      <c r="EV11" s="251"/>
      <c r="EW11" s="251"/>
    </row>
    <row r="12" spans="1:153" ht="6.75" customHeight="1" thickBot="1">
      <c r="E12" s="263"/>
      <c r="S12" s="263"/>
      <c r="AA12" s="264"/>
      <c r="AC12" s="246"/>
      <c r="AD12" s="266"/>
      <c r="AE12" s="266"/>
      <c r="AF12" s="266"/>
      <c r="AG12" s="267"/>
      <c r="AH12" s="267"/>
      <c r="AI12" s="267"/>
      <c r="AJ12" s="267"/>
      <c r="AK12" s="267"/>
      <c r="AL12" s="267"/>
      <c r="AM12" s="267"/>
      <c r="AN12" s="267"/>
      <c r="EO12" s="251"/>
      <c r="EP12" s="251"/>
      <c r="EQ12" s="251"/>
      <c r="ER12" s="251"/>
      <c r="ES12" s="251"/>
      <c r="ET12" s="251"/>
      <c r="EU12" s="251"/>
      <c r="EV12" s="251"/>
      <c r="EW12" s="251"/>
    </row>
    <row r="13" spans="1:153" ht="15.75" customHeight="1" thickBot="1">
      <c r="E13" s="263" t="s">
        <v>443</v>
      </c>
      <c r="F13" s="838" t="s">
        <v>2</v>
      </c>
      <c r="G13" s="839"/>
      <c r="H13" s="840"/>
      <c r="M13" s="545" t="s">
        <v>432</v>
      </c>
      <c r="N13" s="1075" t="str">
        <f>PROPOSITION!N13</f>
        <v>Aucune</v>
      </c>
      <c r="O13" s="1076"/>
      <c r="P13" s="1077"/>
      <c r="Q13" s="680" t="s">
        <v>505</v>
      </c>
      <c r="S13" s="265" t="s">
        <v>2</v>
      </c>
      <c r="U13" s="1147" t="s">
        <v>2</v>
      </c>
      <c r="V13" s="1148"/>
      <c r="W13" s="1148"/>
      <c r="X13" s="1148"/>
      <c r="Y13" s="1148"/>
      <c r="AA13" s="264">
        <f>IF(P17="x",0,0)</f>
        <v>0</v>
      </c>
      <c r="AC13" s="246"/>
      <c r="AD13" s="1068" t="str">
        <f>PROPOSITION!K135</f>
        <v xml:space="preserve"> </v>
      </c>
      <c r="AE13" s="1068"/>
      <c r="AF13" s="1068"/>
      <c r="AG13" s="1068"/>
      <c r="AH13" s="1068"/>
      <c r="AI13" s="1068"/>
      <c r="AJ13" s="1068"/>
      <c r="AK13" s="1068"/>
      <c r="AL13" s="1068"/>
      <c r="AM13" s="1068"/>
      <c r="AN13" s="1068"/>
      <c r="EO13" s="251"/>
      <c r="EP13" s="251"/>
      <c r="EQ13" s="251"/>
      <c r="ER13" s="251"/>
      <c r="ES13" s="251"/>
      <c r="ET13" s="251"/>
      <c r="EU13" s="251"/>
      <c r="EV13" s="251"/>
      <c r="EW13" s="251"/>
    </row>
    <row r="14" spans="1:153" ht="12.75" customHeight="1" thickBot="1">
      <c r="E14" s="263"/>
      <c r="L14" s="634" t="s">
        <v>2</v>
      </c>
      <c r="M14" s="302" t="s">
        <v>2</v>
      </c>
      <c r="AA14" s="264"/>
      <c r="AC14" s="246"/>
      <c r="AD14" s="266"/>
      <c r="AE14" s="266"/>
      <c r="AF14" s="266"/>
      <c r="AG14" s="267"/>
      <c r="AH14" s="267"/>
      <c r="AI14" s="267"/>
      <c r="AJ14" s="267"/>
      <c r="AK14" s="267"/>
      <c r="AL14" s="267"/>
      <c r="AM14" s="267"/>
      <c r="AN14" s="267"/>
      <c r="EO14" s="251"/>
      <c r="EP14" s="251"/>
      <c r="EQ14" s="251"/>
      <c r="ER14" s="251"/>
      <c r="ES14" s="251"/>
      <c r="ET14" s="251"/>
      <c r="EU14" s="251"/>
      <c r="EV14" s="251"/>
      <c r="EW14" s="251"/>
    </row>
    <row r="15" spans="1:153" ht="15.75" customHeight="1" thickBot="1">
      <c r="E15" s="263" t="s">
        <v>431</v>
      </c>
      <c r="F15" s="1062" t="str">
        <f>PROPOSITION!F15</f>
        <v xml:space="preserve"> </v>
      </c>
      <c r="G15" s="1063"/>
      <c r="H15" s="1064"/>
      <c r="M15" s="545" t="s">
        <v>444</v>
      </c>
      <c r="N15" s="1151">
        <f>PROPOSITION!N15</f>
        <v>0</v>
      </c>
      <c r="O15" s="1152"/>
      <c r="P15" s="1153"/>
      <c r="S15" s="245" t="s">
        <v>2</v>
      </c>
      <c r="AA15" s="264">
        <f>SUM(AA8:AA13)</f>
        <v>0</v>
      </c>
      <c r="AD15" s="1068" t="str">
        <f>PROPOSITION!K137</f>
        <v xml:space="preserve"> </v>
      </c>
      <c r="AE15" s="1068"/>
      <c r="AF15" s="1068"/>
      <c r="AG15" s="1068"/>
      <c r="AH15" s="1068"/>
      <c r="AI15" s="1068"/>
      <c r="AJ15" s="1068"/>
      <c r="AK15" s="1068"/>
      <c r="AL15" s="1068"/>
      <c r="AM15" s="1068"/>
      <c r="AN15" s="1068"/>
      <c r="EO15" s="251"/>
      <c r="EP15" s="251"/>
      <c r="EQ15" s="251"/>
      <c r="ER15" s="251"/>
      <c r="ES15" s="251"/>
      <c r="ET15" s="251"/>
      <c r="EU15" s="251"/>
      <c r="EV15" s="251"/>
      <c r="EW15" s="251"/>
    </row>
    <row r="16" spans="1:153" ht="2.25" customHeight="1">
      <c r="P16" s="503" t="s">
        <v>2</v>
      </c>
      <c r="EO16" s="251"/>
      <c r="EP16" s="251"/>
      <c r="EQ16" s="251"/>
      <c r="ER16" s="251"/>
      <c r="ES16" s="251"/>
      <c r="ET16" s="251"/>
      <c r="EU16" s="251"/>
      <c r="EV16" s="251"/>
      <c r="EW16" s="251"/>
    </row>
    <row r="17" spans="1:153" ht="3.75" customHeight="1">
      <c r="J17" s="457"/>
      <c r="K17" s="457"/>
      <c r="L17" s="457"/>
      <c r="M17" s="458" t="s">
        <v>70</v>
      </c>
      <c r="N17" s="459" t="s">
        <v>10</v>
      </c>
      <c r="O17" s="268"/>
      <c r="P17" s="269"/>
      <c r="Q17" s="269"/>
      <c r="R17" s="1069" t="s">
        <v>222</v>
      </c>
      <c r="S17" s="834"/>
      <c r="T17" s="834"/>
      <c r="U17" s="834"/>
      <c r="V17" s="834"/>
      <c r="W17" s="834"/>
      <c r="X17" s="834"/>
      <c r="Y17" s="834"/>
      <c r="Z17" s="255">
        <f>AO49</f>
        <v>0</v>
      </c>
      <c r="EO17" s="251"/>
      <c r="EP17" s="251"/>
      <c r="EQ17" s="251"/>
      <c r="ER17" s="251"/>
      <c r="ES17" s="251"/>
      <c r="ET17" s="251"/>
      <c r="EU17" s="251"/>
      <c r="EV17" s="251"/>
      <c r="EW17" s="251"/>
    </row>
    <row r="18" spans="1:153" ht="0.75" customHeight="1">
      <c r="N18" s="270" t="str">
        <f>N17</f>
        <v>5</v>
      </c>
      <c r="O18" s="271" t="s">
        <v>2</v>
      </c>
      <c r="P18" s="272" t="s">
        <v>2</v>
      </c>
      <c r="Q18" s="273"/>
      <c r="Z18" s="273"/>
      <c r="EO18" s="251"/>
      <c r="EP18" s="251"/>
      <c r="EQ18" s="251"/>
      <c r="ER18" s="251"/>
      <c r="ES18" s="251"/>
      <c r="ET18" s="251"/>
      <c r="EU18" s="251"/>
      <c r="EV18" s="251"/>
      <c r="EW18" s="251"/>
    </row>
    <row r="19" spans="1:153" ht="25.5" customHeight="1">
      <c r="C19" s="549" t="s">
        <v>445</v>
      </c>
      <c r="N19" s="270"/>
      <c r="O19" s="271"/>
      <c r="P19" s="272"/>
      <c r="Q19" s="273"/>
      <c r="Z19" s="273"/>
      <c r="EO19" s="251"/>
      <c r="EP19" s="251"/>
      <c r="EQ19" s="251"/>
      <c r="ER19" s="251"/>
      <c r="ES19" s="251"/>
      <c r="ET19" s="251"/>
      <c r="EU19" s="251"/>
      <c r="EV19" s="251"/>
      <c r="EW19" s="251"/>
    </row>
    <row r="20" spans="1:153" ht="11.25" hidden="1" customHeight="1">
      <c r="N20" s="270"/>
      <c r="O20" s="271"/>
      <c r="P20" s="272"/>
      <c r="Q20" s="273"/>
      <c r="Z20" s="273"/>
      <c r="EO20" s="251"/>
      <c r="EP20" s="251"/>
      <c r="EQ20" s="251"/>
      <c r="ER20" s="251"/>
      <c r="ES20" s="251"/>
      <c r="ET20" s="251"/>
      <c r="EU20" s="251"/>
      <c r="EV20" s="251"/>
      <c r="EW20" s="251"/>
    </row>
    <row r="21" spans="1:153" ht="3.75" customHeight="1">
      <c r="EO21" s="251"/>
      <c r="EP21" s="251"/>
      <c r="EQ21" s="251"/>
      <c r="ER21" s="251"/>
      <c r="ES21" s="251"/>
      <c r="ET21" s="251"/>
      <c r="EU21" s="251"/>
      <c r="EV21" s="251"/>
      <c r="EW21" s="251"/>
    </row>
    <row r="22" spans="1:153" s="282" customFormat="1" ht="141" customHeight="1">
      <c r="A22" s="274"/>
      <c r="B22" s="402" t="s">
        <v>11</v>
      </c>
      <c r="C22" s="550" t="s">
        <v>420</v>
      </c>
      <c r="D22" s="1070" t="s">
        <v>421</v>
      </c>
      <c r="E22" s="1070"/>
      <c r="F22" s="1070"/>
      <c r="G22" s="1070" t="s">
        <v>14</v>
      </c>
      <c r="H22" s="1070"/>
      <c r="I22" s="1070"/>
      <c r="J22" s="1070" t="s">
        <v>485</v>
      </c>
      <c r="K22" s="1070"/>
      <c r="L22" s="1070"/>
      <c r="M22" s="1070" t="s">
        <v>484</v>
      </c>
      <c r="N22" s="1070"/>
      <c r="O22" s="1070"/>
      <c r="P22" s="1070" t="s">
        <v>423</v>
      </c>
      <c r="Q22" s="1071"/>
      <c r="R22" s="550" t="s">
        <v>446</v>
      </c>
      <c r="S22" s="550"/>
      <c r="T22" s="402"/>
      <c r="U22" s="607" t="s">
        <v>425</v>
      </c>
      <c r="V22" s="607" t="s">
        <v>635</v>
      </c>
      <c r="W22" s="579" t="s">
        <v>587</v>
      </c>
      <c r="X22" s="579" t="s">
        <v>552</v>
      </c>
      <c r="Y22" s="401" t="s">
        <v>568</v>
      </c>
      <c r="Z22" s="605" t="s">
        <v>448</v>
      </c>
      <c r="AA22" s="401" t="s">
        <v>255</v>
      </c>
      <c r="AB22" s="629"/>
      <c r="AC22" s="275"/>
      <c r="AD22" s="276" t="s">
        <v>230</v>
      </c>
      <c r="AE22" s="277"/>
      <c r="AF22" s="278"/>
      <c r="AG22" s="279"/>
      <c r="AH22" s="280" t="str">
        <f>PROPOSITION!K167</f>
        <v xml:space="preserve"> </v>
      </c>
      <c r="AI22" s="280"/>
      <c r="AJ22" s="280"/>
      <c r="AK22" s="280"/>
      <c r="AL22" s="280"/>
      <c r="AM22" s="280"/>
      <c r="AN22" s="279">
        <f>IF(PROPOSITION!Z21&gt;3000,0.2,0)</f>
        <v>0</v>
      </c>
      <c r="AO22" s="279"/>
      <c r="AP22" s="279"/>
      <c r="AQ22" s="279"/>
      <c r="AR22" s="279"/>
      <c r="AS22" s="279"/>
      <c r="AT22" s="279"/>
      <c r="AU22" s="279"/>
      <c r="AV22" s="279"/>
      <c r="AW22" s="279"/>
      <c r="AX22" s="279"/>
      <c r="AY22" s="279"/>
      <c r="AZ22" s="279"/>
      <c r="BA22" s="279"/>
      <c r="BB22" s="279"/>
      <c r="BC22" s="279"/>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row>
    <row r="23" spans="1:153" ht="6" customHeight="1">
      <c r="C23" s="245" t="s">
        <v>2</v>
      </c>
      <c r="M23" s="245" t="s">
        <v>2</v>
      </c>
      <c r="N23" s="245" t="s">
        <v>2</v>
      </c>
      <c r="W23" s="245" t="s">
        <v>2</v>
      </c>
      <c r="AF23" s="281"/>
      <c r="AG23" s="279"/>
      <c r="AH23" s="280"/>
      <c r="AI23" s="280"/>
      <c r="AJ23" s="280"/>
      <c r="AK23" s="280"/>
      <c r="AL23" s="280"/>
      <c r="AM23" s="280"/>
      <c r="AN23" s="279"/>
      <c r="EO23" s="251"/>
      <c r="EP23" s="251"/>
      <c r="EQ23" s="251"/>
      <c r="ER23" s="251"/>
      <c r="ES23" s="251"/>
      <c r="ET23" s="251"/>
      <c r="EU23" s="251"/>
      <c r="EV23" s="251"/>
      <c r="EW23" s="251"/>
    </row>
    <row r="24" spans="1:153" ht="15.75" customHeight="1">
      <c r="A24" s="283">
        <f t="shared" ref="A24:A48" si="0">IF(C24&gt;0,1,0)</f>
        <v>0</v>
      </c>
      <c r="B24" s="284">
        <v>1</v>
      </c>
      <c r="C24" s="403">
        <f>PROPOSITION!C21</f>
        <v>0</v>
      </c>
      <c r="D24" s="1048" t="str">
        <f>PROPOSITION!D21</f>
        <v xml:space="preserve"> </v>
      </c>
      <c r="E24" s="1049"/>
      <c r="F24" s="1050"/>
      <c r="G24" s="1051" t="str">
        <f>PROPOSITION!G21</f>
        <v xml:space="preserve"> </v>
      </c>
      <c r="H24" s="1110"/>
      <c r="I24" s="1111"/>
      <c r="J24" s="1054" t="str">
        <f>PROPOSITION!J21</f>
        <v xml:space="preserve"> </v>
      </c>
      <c r="K24" s="1052"/>
      <c r="L24" s="1053"/>
      <c r="M24" s="1055" t="str">
        <f>PROPOSITION!M21</f>
        <v xml:space="preserve"> </v>
      </c>
      <c r="N24" s="1056"/>
      <c r="O24" s="1057"/>
      <c r="P24" s="1149">
        <f>MAX(0.0000001,PROPOSITION!P21)</f>
        <v>9.9999999999999995E-8</v>
      </c>
      <c r="Q24" s="1150"/>
      <c r="R24" s="1098">
        <f t="shared" ref="R24" si="1">EW260</f>
        <v>1500</v>
      </c>
      <c r="S24" s="1099"/>
      <c r="T24" s="285">
        <f t="shared" ref="T24:T30" si="2">IF(AA24="Y",1,0)</f>
        <v>0</v>
      </c>
      <c r="U24" s="404" t="str">
        <f>PROPOSITION!T21</f>
        <v>N</v>
      </c>
      <c r="V24" s="404" t="str">
        <f>PROPOSITION!U21</f>
        <v>N</v>
      </c>
      <c r="W24" s="485" t="str">
        <f>PROPOSITION!S21</f>
        <v>O</v>
      </c>
      <c r="X24" s="404" t="str">
        <f>PROPOSITION!R21</f>
        <v>O</v>
      </c>
      <c r="Y24" s="570">
        <f t="shared" ref="Y24:Y48" si="3">P24*Y260/100+U260</f>
        <v>4.9999999999999982E-11</v>
      </c>
      <c r="Z24" s="601">
        <f>Y24/P24*100</f>
        <v>4.9999999999999982E-2</v>
      </c>
      <c r="AA24" s="286" t="str">
        <f t="shared" ref="AA24:AA48" si="4">IF(P24&gt;$AD$240,"Y","N")</f>
        <v>N</v>
      </c>
      <c r="AC24" s="287"/>
      <c r="AD24" s="288">
        <f>Y24-AE24</f>
        <v>4.9999999999999982E-11</v>
      </c>
      <c r="AE24" s="288">
        <f>T24*300</f>
        <v>0</v>
      </c>
      <c r="AF24" s="289"/>
      <c r="AG24" s="279" t="s">
        <v>19</v>
      </c>
      <c r="AH24" s="290">
        <f>U10</f>
        <v>30</v>
      </c>
      <c r="AI24" s="290"/>
      <c r="AJ24" s="290"/>
      <c r="AK24" s="290"/>
      <c r="AL24" s="290"/>
      <c r="AM24" s="290"/>
      <c r="AN24" s="279">
        <f>IF(PROPOSITION!Z21&gt;10,0.2,0)</f>
        <v>0.2</v>
      </c>
      <c r="AO24" s="248">
        <f>IF(AA24="Y",1,0)</f>
        <v>0</v>
      </c>
      <c r="AP24" s="248">
        <f>IF(W24="y",1,0)</f>
        <v>0</v>
      </c>
      <c r="AT24" s="248">
        <f>IF(C24&lt;1999,1,0)</f>
        <v>1</v>
      </c>
      <c r="AU24" s="248">
        <f t="shared" ref="AU24:AU48" si="5">IF(C260&gt;3.33,1,0)</f>
        <v>0</v>
      </c>
      <c r="BC24" s="291">
        <f t="shared" ref="BC24:BC48" si="6">P24*C260/100</f>
        <v>0</v>
      </c>
      <c r="BD24" s="292"/>
      <c r="BE24" s="292"/>
      <c r="BF24" s="292"/>
      <c r="BG24" s="292"/>
      <c r="BH24" s="292"/>
      <c r="BI24" s="292"/>
      <c r="BJ24" s="292"/>
      <c r="BK24" s="292"/>
      <c r="BL24" s="292"/>
      <c r="BM24" s="292"/>
      <c r="BN24" s="292"/>
      <c r="BO24" s="292"/>
      <c r="BP24" s="292"/>
      <c r="BU24" s="251">
        <f>IF(P24&gt;0.1,1,0)</f>
        <v>0</v>
      </c>
      <c r="EA24" s="251">
        <f>IF(C24=0,-0.5,)</f>
        <v>-0.5</v>
      </c>
      <c r="EB24" s="251">
        <f>IF(C24&lt;2003,0.25,0)</f>
        <v>0.25</v>
      </c>
      <c r="EC24" s="251">
        <f>SUM(EA24:EB24)</f>
        <v>-0.25</v>
      </c>
      <c r="ED24" s="251">
        <f t="shared" ref="ED24:ED48" si="7">MAX(IF($H$240="Y",EC24,0),0)</f>
        <v>0</v>
      </c>
      <c r="EF24" s="293">
        <f>PROPOSITION!Z21</f>
        <v>2499</v>
      </c>
      <c r="EG24" s="251">
        <f>IF(EF24&gt;3999,2,1)</f>
        <v>1</v>
      </c>
      <c r="EH24" s="251">
        <f t="shared" ref="EH24:EH48" si="8">IF(S260&gt;0,1,0)</f>
        <v>0</v>
      </c>
      <c r="EK24" s="251">
        <f>SUM(EG24:EH24)</f>
        <v>1</v>
      </c>
      <c r="EN24" s="251">
        <f>IF(C24=2014,-15,0)</f>
        <v>0</v>
      </c>
      <c r="EO24" s="251">
        <f>IF(C24=2015,-15,0)</f>
        <v>0</v>
      </c>
      <c r="EP24" s="251">
        <f>SUM(EN24:EO24)</f>
        <v>0</v>
      </c>
      <c r="EQ24" s="251"/>
      <c r="ER24" s="251"/>
      <c r="ES24" s="251"/>
      <c r="ET24" s="251"/>
      <c r="EU24" s="251"/>
      <c r="EV24" s="251"/>
      <c r="EW24" s="251"/>
    </row>
    <row r="25" spans="1:153" ht="15.75" customHeight="1">
      <c r="A25" s="283">
        <f t="shared" si="0"/>
        <v>0</v>
      </c>
      <c r="B25" s="284">
        <v>2</v>
      </c>
      <c r="C25" s="403">
        <f>PROPOSITION!C22</f>
        <v>0</v>
      </c>
      <c r="D25" s="1048" t="str">
        <f>PROPOSITION!D22</f>
        <v xml:space="preserve"> </v>
      </c>
      <c r="E25" s="1049"/>
      <c r="F25" s="1050"/>
      <c r="G25" s="1051" t="str">
        <f>PROPOSITION!G22</f>
        <v xml:space="preserve"> </v>
      </c>
      <c r="H25" s="1110"/>
      <c r="I25" s="1111"/>
      <c r="J25" s="1054" t="str">
        <f>PROPOSITION!J22</f>
        <v xml:space="preserve"> </v>
      </c>
      <c r="K25" s="1052"/>
      <c r="L25" s="1053"/>
      <c r="M25" s="1055" t="str">
        <f>PROPOSITION!M22</f>
        <v xml:space="preserve"> </v>
      </c>
      <c r="N25" s="1056"/>
      <c r="O25" s="1057"/>
      <c r="P25" s="1149">
        <f>MAX(0.0000001,PROPOSITION!P22)</f>
        <v>9.9999999999999995E-8</v>
      </c>
      <c r="Q25" s="1150"/>
      <c r="R25" s="1098">
        <f t="shared" ref="R25:R48" si="9">EW261</f>
        <v>1500</v>
      </c>
      <c r="S25" s="1099"/>
      <c r="T25" s="285">
        <f t="shared" si="2"/>
        <v>0</v>
      </c>
      <c r="U25" s="404" t="str">
        <f>PROPOSITION!T22</f>
        <v>N</v>
      </c>
      <c r="V25" s="404" t="str">
        <f>PROPOSITION!U22</f>
        <v>N</v>
      </c>
      <c r="W25" s="485" t="str">
        <f>PROPOSITION!S22</f>
        <v>O</v>
      </c>
      <c r="X25" s="404" t="str">
        <f>PROPOSITION!R22</f>
        <v>O</v>
      </c>
      <c r="Y25" s="570">
        <f t="shared" si="3"/>
        <v>4.9999999999999982E-11</v>
      </c>
      <c r="Z25" s="601">
        <f t="shared" ref="Z25:Z48" si="10">Y25/P25*100</f>
        <v>4.9999999999999982E-2</v>
      </c>
      <c r="AA25" s="286" t="str">
        <f t="shared" si="4"/>
        <v>N</v>
      </c>
      <c r="AC25" s="287"/>
      <c r="AD25" s="288">
        <f t="shared" ref="AD25:AD48" si="11">Y25-AE25</f>
        <v>4.9999999999999982E-11</v>
      </c>
      <c r="AE25" s="288">
        <f t="shared" ref="AE25:AE48" si="12">T25*300</f>
        <v>0</v>
      </c>
      <c r="AF25" s="289"/>
      <c r="AG25" s="279" t="s">
        <v>20</v>
      </c>
      <c r="AH25" s="280" t="str">
        <f>F8</f>
        <v xml:space="preserve"> </v>
      </c>
      <c r="AI25" s="280"/>
      <c r="AJ25" s="280"/>
      <c r="AK25" s="280"/>
      <c r="AL25" s="280"/>
      <c r="AM25" s="280"/>
      <c r="AN25" s="279">
        <f>IF(PROPOSITION!Z22&gt;10,0.2,0)</f>
        <v>0.2</v>
      </c>
      <c r="AO25" s="248">
        <f>IF(AA25="Y",1,0)</f>
        <v>0</v>
      </c>
      <c r="AP25" s="248">
        <f t="shared" ref="AP25:AP47" si="13">IF(W25="y",1,0)</f>
        <v>0</v>
      </c>
      <c r="AT25" s="248">
        <f t="shared" ref="AT25:AT48" si="14">IF(C25&lt;1999,1,0)</f>
        <v>1</v>
      </c>
      <c r="AU25" s="248">
        <f t="shared" si="5"/>
        <v>0</v>
      </c>
      <c r="BC25" s="291">
        <f t="shared" si="6"/>
        <v>0</v>
      </c>
      <c r="BD25" s="292"/>
      <c r="BE25" s="292"/>
      <c r="BF25" s="292"/>
      <c r="BG25" s="292"/>
      <c r="BH25" s="292"/>
      <c r="BI25" s="292"/>
      <c r="BJ25" s="292"/>
      <c r="BK25" s="292"/>
      <c r="BL25" s="292"/>
      <c r="BM25" s="292"/>
      <c r="BN25" s="292"/>
      <c r="BO25" s="292"/>
      <c r="BP25" s="292"/>
      <c r="BU25" s="251">
        <f t="shared" ref="BU25:BU49" si="15">IF(P25&gt;0.1,1,0)</f>
        <v>0</v>
      </c>
      <c r="EA25" s="251">
        <f t="shared" ref="EA25:EA48" si="16">IF(C25=0,-0.5,)</f>
        <v>-0.5</v>
      </c>
      <c r="EB25" s="251">
        <f t="shared" ref="EB25:EB48" si="17">IF(C25&lt;2003,0.25,0)</f>
        <v>0.25</v>
      </c>
      <c r="EC25" s="251">
        <f t="shared" ref="EC25:EC48" si="18">SUM(EA25:EB25)</f>
        <v>-0.25</v>
      </c>
      <c r="ED25" s="251">
        <f t="shared" si="7"/>
        <v>0</v>
      </c>
      <c r="EF25" s="293">
        <f>PROPOSITION!Z22</f>
        <v>2499</v>
      </c>
      <c r="EG25" s="251">
        <f t="shared" ref="EG25:EG48" si="19">IF(EF25&gt;3999,2,1)</f>
        <v>1</v>
      </c>
      <c r="EH25" s="251">
        <f t="shared" si="8"/>
        <v>0</v>
      </c>
      <c r="EK25" s="251">
        <f t="shared" ref="EK25:EK48" si="20">SUM(EG25:EH25)</f>
        <v>1</v>
      </c>
      <c r="EN25" s="251">
        <f t="shared" ref="EN25:EN48" si="21">IF(C25=2014,-15,0)</f>
        <v>0</v>
      </c>
      <c r="EO25" s="251">
        <f t="shared" ref="EO25:EO48" si="22">IF(C25=2015,-15,0)</f>
        <v>0</v>
      </c>
      <c r="EP25" s="251">
        <f t="shared" ref="EP25:EP48" si="23">SUM(EN25:EO25)</f>
        <v>0</v>
      </c>
      <c r="EQ25" s="251"/>
      <c r="ER25" s="251"/>
      <c r="ES25" s="251"/>
      <c r="ET25" s="251"/>
      <c r="EU25" s="251"/>
      <c r="EV25" s="251"/>
      <c r="EW25" s="251"/>
    </row>
    <row r="26" spans="1:153" ht="15.75" customHeight="1">
      <c r="A26" s="283">
        <f t="shared" si="0"/>
        <v>0</v>
      </c>
      <c r="B26" s="284">
        <v>3</v>
      </c>
      <c r="C26" s="403">
        <f>PROPOSITION!C23</f>
        <v>0</v>
      </c>
      <c r="D26" s="1048" t="str">
        <f>PROPOSITION!D23</f>
        <v xml:space="preserve"> </v>
      </c>
      <c r="E26" s="1049"/>
      <c r="F26" s="1050"/>
      <c r="G26" s="1051" t="str">
        <f>PROPOSITION!G23</f>
        <v xml:space="preserve"> </v>
      </c>
      <c r="H26" s="1110"/>
      <c r="I26" s="1111"/>
      <c r="J26" s="1054" t="str">
        <f>PROPOSITION!J23</f>
        <v xml:space="preserve"> </v>
      </c>
      <c r="K26" s="1052"/>
      <c r="L26" s="1053"/>
      <c r="M26" s="1055" t="str">
        <f>PROPOSITION!M23</f>
        <v xml:space="preserve"> </v>
      </c>
      <c r="N26" s="1056"/>
      <c r="O26" s="1057"/>
      <c r="P26" s="1149">
        <f>MAX(0.0000001,PROPOSITION!P23)</f>
        <v>9.9999999999999995E-8</v>
      </c>
      <c r="Q26" s="1150"/>
      <c r="R26" s="1098">
        <f t="shared" si="9"/>
        <v>1500</v>
      </c>
      <c r="S26" s="1099"/>
      <c r="T26" s="285">
        <f t="shared" si="2"/>
        <v>0</v>
      </c>
      <c r="U26" s="404" t="str">
        <f>PROPOSITION!T23</f>
        <v>N</v>
      </c>
      <c r="V26" s="404" t="str">
        <f>PROPOSITION!U23</f>
        <v>N</v>
      </c>
      <c r="W26" s="485" t="str">
        <f>PROPOSITION!S23</f>
        <v>O</v>
      </c>
      <c r="X26" s="404" t="str">
        <f>PROPOSITION!R23</f>
        <v>O</v>
      </c>
      <c r="Y26" s="570">
        <f t="shared" si="3"/>
        <v>4.9999999999999982E-11</v>
      </c>
      <c r="Z26" s="601">
        <f t="shared" si="10"/>
        <v>4.9999999999999982E-2</v>
      </c>
      <c r="AA26" s="286" t="str">
        <f t="shared" si="4"/>
        <v>N</v>
      </c>
      <c r="AC26" s="287"/>
      <c r="AD26" s="288">
        <f t="shared" si="11"/>
        <v>4.9999999999999982E-11</v>
      </c>
      <c r="AE26" s="288">
        <f t="shared" si="12"/>
        <v>0</v>
      </c>
      <c r="AF26" s="289"/>
      <c r="AG26" s="279" t="s">
        <v>21</v>
      </c>
      <c r="AH26" s="280" t="str">
        <f>F10</f>
        <v xml:space="preserve"> </v>
      </c>
      <c r="AI26" s="280"/>
      <c r="AJ26" s="280"/>
      <c r="AK26" s="280"/>
      <c r="AL26" s="280"/>
      <c r="AM26" s="280"/>
      <c r="AN26" s="279">
        <f>IF(PROPOSITION!Z23&gt;10,0.2,0)</f>
        <v>0.2</v>
      </c>
      <c r="AO26" s="248">
        <f t="shared" ref="AO26:AO48" si="24">IF(AA26="Y",1,0)</f>
        <v>0</v>
      </c>
      <c r="AP26" s="248">
        <f t="shared" si="13"/>
        <v>0</v>
      </c>
      <c r="AT26" s="248">
        <f t="shared" si="14"/>
        <v>1</v>
      </c>
      <c r="AU26" s="248">
        <f t="shared" si="5"/>
        <v>0</v>
      </c>
      <c r="BC26" s="291">
        <f t="shared" si="6"/>
        <v>0</v>
      </c>
      <c r="BD26" s="292"/>
      <c r="BE26" s="292"/>
      <c r="BF26" s="292"/>
      <c r="BG26" s="292"/>
      <c r="BH26" s="292"/>
      <c r="BI26" s="292"/>
      <c r="BJ26" s="292"/>
      <c r="BK26" s="292"/>
      <c r="BL26" s="292"/>
      <c r="BM26" s="292"/>
      <c r="BN26" s="292"/>
      <c r="BO26" s="292"/>
      <c r="BP26" s="292"/>
      <c r="BU26" s="251">
        <f t="shared" si="15"/>
        <v>0</v>
      </c>
      <c r="EA26" s="251">
        <f t="shared" si="16"/>
        <v>-0.5</v>
      </c>
      <c r="EB26" s="251">
        <f t="shared" si="17"/>
        <v>0.25</v>
      </c>
      <c r="EC26" s="251">
        <f t="shared" si="18"/>
        <v>-0.25</v>
      </c>
      <c r="ED26" s="251">
        <f t="shared" si="7"/>
        <v>0</v>
      </c>
      <c r="EF26" s="293">
        <f>PROPOSITION!Z23</f>
        <v>2499</v>
      </c>
      <c r="EG26" s="251">
        <f t="shared" si="19"/>
        <v>1</v>
      </c>
      <c r="EH26" s="251">
        <f t="shared" si="8"/>
        <v>0</v>
      </c>
      <c r="EK26" s="251">
        <f t="shared" si="20"/>
        <v>1</v>
      </c>
      <c r="EN26" s="251">
        <f t="shared" si="21"/>
        <v>0</v>
      </c>
      <c r="EO26" s="251">
        <f t="shared" si="22"/>
        <v>0</v>
      </c>
      <c r="EP26" s="251">
        <f t="shared" si="23"/>
        <v>0</v>
      </c>
      <c r="EQ26" s="251"/>
      <c r="ER26" s="251"/>
      <c r="ES26" s="251"/>
      <c r="ET26" s="251"/>
      <c r="EU26" s="251"/>
      <c r="EV26" s="251"/>
      <c r="EW26" s="251"/>
    </row>
    <row r="27" spans="1:153" ht="15.75" customHeight="1">
      <c r="A27" s="283">
        <f t="shared" si="0"/>
        <v>0</v>
      </c>
      <c r="B27" s="284">
        <v>4</v>
      </c>
      <c r="C27" s="403">
        <f>PROPOSITION!C24</f>
        <v>0</v>
      </c>
      <c r="D27" s="1048" t="str">
        <f>PROPOSITION!D24</f>
        <v xml:space="preserve"> </v>
      </c>
      <c r="E27" s="1049"/>
      <c r="F27" s="1050"/>
      <c r="G27" s="1051" t="str">
        <f>PROPOSITION!G24</f>
        <v xml:space="preserve"> </v>
      </c>
      <c r="H27" s="1110"/>
      <c r="I27" s="1111"/>
      <c r="J27" s="1054" t="str">
        <f>PROPOSITION!J24</f>
        <v xml:space="preserve"> </v>
      </c>
      <c r="K27" s="1052"/>
      <c r="L27" s="1053"/>
      <c r="M27" s="1055" t="str">
        <f>PROPOSITION!M24</f>
        <v xml:space="preserve"> </v>
      </c>
      <c r="N27" s="1056"/>
      <c r="O27" s="1057"/>
      <c r="P27" s="1149">
        <f>MAX(0.0000001,PROPOSITION!P24)</f>
        <v>9.9999999999999995E-8</v>
      </c>
      <c r="Q27" s="1150"/>
      <c r="R27" s="1098">
        <f t="shared" si="9"/>
        <v>1500</v>
      </c>
      <c r="S27" s="1099"/>
      <c r="T27" s="285">
        <f t="shared" si="2"/>
        <v>0</v>
      </c>
      <c r="U27" s="404" t="str">
        <f>PROPOSITION!T24</f>
        <v>N</v>
      </c>
      <c r="V27" s="404" t="str">
        <f>PROPOSITION!U24</f>
        <v>N</v>
      </c>
      <c r="W27" s="485" t="str">
        <f>PROPOSITION!S24</f>
        <v>O</v>
      </c>
      <c r="X27" s="404" t="str">
        <f>PROPOSITION!R24</f>
        <v>O</v>
      </c>
      <c r="Y27" s="570">
        <f t="shared" si="3"/>
        <v>4.9999999999999982E-11</v>
      </c>
      <c r="Z27" s="601">
        <f t="shared" si="10"/>
        <v>4.9999999999999982E-2</v>
      </c>
      <c r="AA27" s="286" t="str">
        <f t="shared" si="4"/>
        <v>N</v>
      </c>
      <c r="AC27" s="287"/>
      <c r="AD27" s="288">
        <f t="shared" si="11"/>
        <v>4.9999999999999982E-11</v>
      </c>
      <c r="AE27" s="288">
        <f t="shared" si="12"/>
        <v>0</v>
      </c>
      <c r="AF27" s="289"/>
      <c r="AG27" s="279" t="s">
        <v>22</v>
      </c>
      <c r="AH27" s="280" t="str">
        <f>F11</f>
        <v xml:space="preserve"> </v>
      </c>
      <c r="AI27" s="280"/>
      <c r="AJ27" s="280"/>
      <c r="AK27" s="280"/>
      <c r="AL27" s="280"/>
      <c r="AM27" s="280"/>
      <c r="AN27" s="279">
        <f>IF(PROPOSITION!Z24&gt;10,0.2,0)</f>
        <v>0.2</v>
      </c>
      <c r="AO27" s="248">
        <f t="shared" si="24"/>
        <v>0</v>
      </c>
      <c r="AP27" s="248">
        <f t="shared" si="13"/>
        <v>0</v>
      </c>
      <c r="AT27" s="248">
        <f t="shared" si="14"/>
        <v>1</v>
      </c>
      <c r="AU27" s="248">
        <f t="shared" si="5"/>
        <v>0</v>
      </c>
      <c r="BC27" s="291">
        <f t="shared" si="6"/>
        <v>0</v>
      </c>
      <c r="BD27" s="292"/>
      <c r="BE27" s="292"/>
      <c r="BF27" s="292"/>
      <c r="BG27" s="292"/>
      <c r="BH27" s="292"/>
      <c r="BI27" s="292"/>
      <c r="BJ27" s="292"/>
      <c r="BK27" s="292"/>
      <c r="BL27" s="292"/>
      <c r="BM27" s="292"/>
      <c r="BN27" s="292"/>
      <c r="BO27" s="292"/>
      <c r="BP27" s="292"/>
      <c r="BU27" s="251">
        <f t="shared" si="15"/>
        <v>0</v>
      </c>
      <c r="EA27" s="251">
        <f>IF(C27=0,-0.5,)</f>
        <v>-0.5</v>
      </c>
      <c r="EB27" s="251">
        <f t="shared" si="17"/>
        <v>0.25</v>
      </c>
      <c r="EC27" s="251">
        <f t="shared" si="18"/>
        <v>-0.25</v>
      </c>
      <c r="ED27" s="251">
        <f t="shared" si="7"/>
        <v>0</v>
      </c>
      <c r="EF27" s="293">
        <f>PROPOSITION!Z24</f>
        <v>2499</v>
      </c>
      <c r="EG27" s="251">
        <f t="shared" si="19"/>
        <v>1</v>
      </c>
      <c r="EH27" s="251">
        <f t="shared" si="8"/>
        <v>0</v>
      </c>
      <c r="EK27" s="251">
        <f t="shared" si="20"/>
        <v>1</v>
      </c>
      <c r="EN27" s="251">
        <f t="shared" si="21"/>
        <v>0</v>
      </c>
      <c r="EO27" s="251">
        <f t="shared" si="22"/>
        <v>0</v>
      </c>
      <c r="EP27" s="251">
        <f t="shared" si="23"/>
        <v>0</v>
      </c>
      <c r="EQ27" s="251"/>
      <c r="ER27" s="251"/>
      <c r="ES27" s="251"/>
      <c r="ET27" s="251"/>
      <c r="EU27" s="251"/>
      <c r="EV27" s="251"/>
      <c r="EW27" s="251"/>
    </row>
    <row r="28" spans="1:153" ht="15.75" customHeight="1">
      <c r="A28" s="283">
        <f t="shared" si="0"/>
        <v>0</v>
      </c>
      <c r="B28" s="284">
        <v>5</v>
      </c>
      <c r="C28" s="403">
        <f>PROPOSITION!C25</f>
        <v>0</v>
      </c>
      <c r="D28" s="1048" t="str">
        <f>PROPOSITION!D25</f>
        <v xml:space="preserve"> </v>
      </c>
      <c r="E28" s="1049"/>
      <c r="F28" s="1050"/>
      <c r="G28" s="1051" t="str">
        <f>PROPOSITION!G25</f>
        <v xml:space="preserve"> </v>
      </c>
      <c r="H28" s="1110"/>
      <c r="I28" s="1111"/>
      <c r="J28" s="1054" t="str">
        <f>PROPOSITION!J25</f>
        <v xml:space="preserve"> </v>
      </c>
      <c r="K28" s="1052"/>
      <c r="L28" s="1053"/>
      <c r="M28" s="1055" t="str">
        <f>PROPOSITION!M25</f>
        <v xml:space="preserve"> </v>
      </c>
      <c r="N28" s="1056"/>
      <c r="O28" s="1057"/>
      <c r="P28" s="1096">
        <f>MAX(0.0000001,PROPOSITION!P25)</f>
        <v>9.9999999999999995E-8</v>
      </c>
      <c r="Q28" s="1097"/>
      <c r="R28" s="1098">
        <f t="shared" si="9"/>
        <v>1500</v>
      </c>
      <c r="S28" s="1099"/>
      <c r="T28" s="285">
        <f t="shared" si="2"/>
        <v>0</v>
      </c>
      <c r="U28" s="404" t="str">
        <f>PROPOSITION!T25</f>
        <v>N</v>
      </c>
      <c r="V28" s="404" t="str">
        <f>PROPOSITION!U25</f>
        <v>N</v>
      </c>
      <c r="W28" s="485" t="str">
        <f>PROPOSITION!S25</f>
        <v>O</v>
      </c>
      <c r="X28" s="404" t="str">
        <f>PROPOSITION!R25</f>
        <v>O</v>
      </c>
      <c r="Y28" s="570">
        <f t="shared" si="3"/>
        <v>4.9999999999999982E-11</v>
      </c>
      <c r="Z28" s="601">
        <f t="shared" si="10"/>
        <v>4.9999999999999982E-2</v>
      </c>
      <c r="AA28" s="286" t="str">
        <f t="shared" si="4"/>
        <v>N</v>
      </c>
      <c r="AC28" s="287"/>
      <c r="AD28" s="288">
        <f t="shared" si="11"/>
        <v>4.9999999999999982E-11</v>
      </c>
      <c r="AE28" s="288">
        <f t="shared" si="12"/>
        <v>0</v>
      </c>
      <c r="AF28" s="288"/>
      <c r="AG28" s="248" t="s">
        <v>23</v>
      </c>
      <c r="AH28" s="249" t="str">
        <f>U8</f>
        <v xml:space="preserve"> </v>
      </c>
      <c r="AN28" s="279">
        <f>IF(PROPOSITION!Z25&gt;10,0.2,0)</f>
        <v>0.2</v>
      </c>
      <c r="AO28" s="248">
        <f t="shared" si="24"/>
        <v>0</v>
      </c>
      <c r="AP28" s="248">
        <f t="shared" si="13"/>
        <v>0</v>
      </c>
      <c r="AT28" s="248">
        <f t="shared" si="14"/>
        <v>1</v>
      </c>
      <c r="AU28" s="248">
        <f t="shared" si="5"/>
        <v>0</v>
      </c>
      <c r="BC28" s="291">
        <f t="shared" si="6"/>
        <v>0</v>
      </c>
      <c r="BD28" s="292"/>
      <c r="BE28" s="292"/>
      <c r="BF28" s="292"/>
      <c r="BG28" s="292"/>
      <c r="BH28" s="292"/>
      <c r="BI28" s="292"/>
      <c r="BJ28" s="292"/>
      <c r="BK28" s="292"/>
      <c r="BL28" s="292"/>
      <c r="BM28" s="292"/>
      <c r="BN28" s="292"/>
      <c r="BO28" s="292"/>
      <c r="BP28" s="292"/>
      <c r="BU28" s="251">
        <f t="shared" si="15"/>
        <v>0</v>
      </c>
      <c r="EA28" s="251">
        <f t="shared" si="16"/>
        <v>-0.5</v>
      </c>
      <c r="EB28" s="251">
        <f t="shared" si="17"/>
        <v>0.25</v>
      </c>
      <c r="EC28" s="251">
        <f t="shared" si="18"/>
        <v>-0.25</v>
      </c>
      <c r="ED28" s="251">
        <f t="shared" si="7"/>
        <v>0</v>
      </c>
      <c r="EF28" s="293">
        <f>PROPOSITION!Z25</f>
        <v>2499</v>
      </c>
      <c r="EG28" s="251">
        <f t="shared" si="19"/>
        <v>1</v>
      </c>
      <c r="EH28" s="251">
        <f t="shared" si="8"/>
        <v>0</v>
      </c>
      <c r="EK28" s="251">
        <f t="shared" si="20"/>
        <v>1</v>
      </c>
      <c r="EN28" s="251">
        <f t="shared" si="21"/>
        <v>0</v>
      </c>
      <c r="EO28" s="251">
        <f t="shared" si="22"/>
        <v>0</v>
      </c>
      <c r="EP28" s="251">
        <f t="shared" si="23"/>
        <v>0</v>
      </c>
      <c r="EQ28" s="251"/>
      <c r="ER28" s="251"/>
      <c r="ES28" s="251"/>
      <c r="ET28" s="251"/>
      <c r="EU28" s="251"/>
      <c r="EV28" s="251"/>
      <c r="EW28" s="251"/>
    </row>
    <row r="29" spans="1:153" ht="15.75" customHeight="1">
      <c r="A29" s="283">
        <f t="shared" si="0"/>
        <v>0</v>
      </c>
      <c r="B29" s="284">
        <v>6</v>
      </c>
      <c r="C29" s="403">
        <f>PROPOSITION!C26</f>
        <v>0</v>
      </c>
      <c r="D29" s="1048" t="str">
        <f>PROPOSITION!D26</f>
        <v xml:space="preserve"> </v>
      </c>
      <c r="E29" s="1049"/>
      <c r="F29" s="1050"/>
      <c r="G29" s="1051" t="str">
        <f>PROPOSITION!G26</f>
        <v xml:space="preserve"> </v>
      </c>
      <c r="H29" s="1110"/>
      <c r="I29" s="1111"/>
      <c r="J29" s="1054" t="str">
        <f>PROPOSITION!J26</f>
        <v xml:space="preserve"> </v>
      </c>
      <c r="K29" s="1052"/>
      <c r="L29" s="1053"/>
      <c r="M29" s="1055" t="str">
        <f>PROPOSITION!M26</f>
        <v xml:space="preserve"> </v>
      </c>
      <c r="N29" s="1056"/>
      <c r="O29" s="1057"/>
      <c r="P29" s="1096">
        <f>MAX(0.0000001,PROPOSITION!P26)</f>
        <v>9.9999999999999995E-8</v>
      </c>
      <c r="Q29" s="1097"/>
      <c r="R29" s="1098">
        <f t="shared" si="9"/>
        <v>1500</v>
      </c>
      <c r="S29" s="1099"/>
      <c r="T29" s="285">
        <f t="shared" si="2"/>
        <v>0</v>
      </c>
      <c r="U29" s="404" t="str">
        <f>PROPOSITION!T26</f>
        <v>N</v>
      </c>
      <c r="V29" s="404" t="str">
        <f>PROPOSITION!U26</f>
        <v>N</v>
      </c>
      <c r="W29" s="485" t="str">
        <f>PROPOSITION!S26</f>
        <v>O</v>
      </c>
      <c r="X29" s="404" t="str">
        <f>PROPOSITION!R26</f>
        <v>O</v>
      </c>
      <c r="Y29" s="570">
        <f t="shared" si="3"/>
        <v>4.9999999999999982E-11</v>
      </c>
      <c r="Z29" s="601">
        <f t="shared" si="10"/>
        <v>4.9999999999999982E-2</v>
      </c>
      <c r="AA29" s="286" t="str">
        <f t="shared" si="4"/>
        <v>N</v>
      </c>
      <c r="AC29" s="287"/>
      <c r="AD29" s="288">
        <f t="shared" si="11"/>
        <v>4.9999999999999982E-11</v>
      </c>
      <c r="AE29" s="288">
        <f t="shared" si="12"/>
        <v>0</v>
      </c>
      <c r="AF29" s="288"/>
      <c r="AG29" s="248" t="s">
        <v>24</v>
      </c>
      <c r="AH29" s="249" t="str">
        <f>U11</f>
        <v xml:space="preserve"> </v>
      </c>
      <c r="AN29" s="279">
        <f>IF(PROPOSITION!Z26&gt;10,0.2,0)</f>
        <v>0.2</v>
      </c>
      <c r="AO29" s="248">
        <f t="shared" si="24"/>
        <v>0</v>
      </c>
      <c r="AP29" s="248">
        <f t="shared" si="13"/>
        <v>0</v>
      </c>
      <c r="AT29" s="248">
        <f t="shared" si="14"/>
        <v>1</v>
      </c>
      <c r="AU29" s="248">
        <f t="shared" si="5"/>
        <v>0</v>
      </c>
      <c r="BC29" s="291">
        <f t="shared" si="6"/>
        <v>0</v>
      </c>
      <c r="BD29" s="292"/>
      <c r="BE29" s="292"/>
      <c r="BF29" s="292"/>
      <c r="BG29" s="292"/>
      <c r="BH29" s="292"/>
      <c r="BI29" s="292"/>
      <c r="BJ29" s="292"/>
      <c r="BK29" s="292"/>
      <c r="BL29" s="292"/>
      <c r="BM29" s="292"/>
      <c r="BN29" s="292"/>
      <c r="BO29" s="292"/>
      <c r="BP29" s="292"/>
      <c r="BU29" s="251">
        <f t="shared" si="15"/>
        <v>0</v>
      </c>
      <c r="EA29" s="251">
        <f t="shared" si="16"/>
        <v>-0.5</v>
      </c>
      <c r="EB29" s="251">
        <f t="shared" si="17"/>
        <v>0.25</v>
      </c>
      <c r="EC29" s="251">
        <f t="shared" si="18"/>
        <v>-0.25</v>
      </c>
      <c r="ED29" s="251">
        <f t="shared" si="7"/>
        <v>0</v>
      </c>
      <c r="EF29" s="293">
        <f>PROPOSITION!Z26</f>
        <v>2499</v>
      </c>
      <c r="EG29" s="251">
        <f t="shared" si="19"/>
        <v>1</v>
      </c>
      <c r="EH29" s="251">
        <f t="shared" si="8"/>
        <v>0</v>
      </c>
      <c r="EK29" s="251">
        <f t="shared" si="20"/>
        <v>1</v>
      </c>
      <c r="EN29" s="251">
        <f t="shared" si="21"/>
        <v>0</v>
      </c>
      <c r="EO29" s="251">
        <f t="shared" si="22"/>
        <v>0</v>
      </c>
      <c r="EP29" s="251">
        <f t="shared" si="23"/>
        <v>0</v>
      </c>
      <c r="EQ29" s="251"/>
      <c r="ER29" s="251"/>
      <c r="ES29" s="251"/>
      <c r="ET29" s="251"/>
      <c r="EU29" s="251"/>
      <c r="EV29" s="251"/>
      <c r="EW29" s="251"/>
    </row>
    <row r="30" spans="1:153" ht="15.75" customHeight="1">
      <c r="A30" s="283">
        <f t="shared" si="0"/>
        <v>0</v>
      </c>
      <c r="B30" s="284">
        <v>7</v>
      </c>
      <c r="C30" s="403">
        <f>PROPOSITION!C27</f>
        <v>0</v>
      </c>
      <c r="D30" s="1048" t="str">
        <f>PROPOSITION!D27</f>
        <v xml:space="preserve"> </v>
      </c>
      <c r="E30" s="1049"/>
      <c r="F30" s="1050"/>
      <c r="G30" s="1051" t="str">
        <f>PROPOSITION!G27</f>
        <v xml:space="preserve"> </v>
      </c>
      <c r="H30" s="1110"/>
      <c r="I30" s="1111"/>
      <c r="J30" s="1054" t="str">
        <f>PROPOSITION!J27</f>
        <v xml:space="preserve"> </v>
      </c>
      <c r="K30" s="1052"/>
      <c r="L30" s="1053"/>
      <c r="M30" s="1055" t="str">
        <f>PROPOSITION!M27</f>
        <v xml:space="preserve"> </v>
      </c>
      <c r="N30" s="1056"/>
      <c r="O30" s="1057"/>
      <c r="P30" s="1096">
        <f>MAX(0.0000001,PROPOSITION!P27)</f>
        <v>9.9999999999999995E-8</v>
      </c>
      <c r="Q30" s="1097"/>
      <c r="R30" s="1098">
        <f t="shared" si="9"/>
        <v>1500</v>
      </c>
      <c r="S30" s="1099"/>
      <c r="T30" s="285">
        <f t="shared" si="2"/>
        <v>0</v>
      </c>
      <c r="U30" s="404" t="str">
        <f>PROPOSITION!T27</f>
        <v>N</v>
      </c>
      <c r="V30" s="404" t="str">
        <f>PROPOSITION!U27</f>
        <v>N</v>
      </c>
      <c r="W30" s="485" t="str">
        <f>PROPOSITION!S27</f>
        <v>O</v>
      </c>
      <c r="X30" s="404" t="str">
        <f>PROPOSITION!R27</f>
        <v>O</v>
      </c>
      <c r="Y30" s="570">
        <f t="shared" si="3"/>
        <v>4.9999999999999982E-11</v>
      </c>
      <c r="Z30" s="601">
        <f t="shared" si="10"/>
        <v>4.9999999999999982E-2</v>
      </c>
      <c r="AA30" s="286" t="str">
        <f t="shared" si="4"/>
        <v>N</v>
      </c>
      <c r="AC30" s="287"/>
      <c r="AD30" s="288">
        <f t="shared" si="11"/>
        <v>4.9999999999999982E-11</v>
      </c>
      <c r="AE30" s="288">
        <f t="shared" si="12"/>
        <v>0</v>
      </c>
      <c r="AF30" s="288"/>
      <c r="AG30" s="248" t="s">
        <v>25</v>
      </c>
      <c r="AH30" s="294" t="str">
        <f>F13</f>
        <v xml:space="preserve"> </v>
      </c>
      <c r="AI30" s="294"/>
      <c r="AJ30" s="294"/>
      <c r="AK30" s="294"/>
      <c r="AL30" s="294"/>
      <c r="AM30" s="294"/>
      <c r="AN30" s="279">
        <f>IF(PROPOSITION!Z27&gt;10,0.2,0)</f>
        <v>0.2</v>
      </c>
      <c r="AO30" s="248">
        <f t="shared" si="24"/>
        <v>0</v>
      </c>
      <c r="AP30" s="248">
        <f t="shared" si="13"/>
        <v>0</v>
      </c>
      <c r="AT30" s="248">
        <f t="shared" si="14"/>
        <v>1</v>
      </c>
      <c r="AU30" s="248">
        <f t="shared" si="5"/>
        <v>0</v>
      </c>
      <c r="BC30" s="291">
        <f t="shared" si="6"/>
        <v>0</v>
      </c>
      <c r="BD30" s="292"/>
      <c r="BE30" s="292"/>
      <c r="BF30" s="292"/>
      <c r="BG30" s="292"/>
      <c r="BH30" s="292"/>
      <c r="BI30" s="292"/>
      <c r="BJ30" s="292"/>
      <c r="BK30" s="292"/>
      <c r="BL30" s="292"/>
      <c r="BM30" s="292"/>
      <c r="BN30" s="292"/>
      <c r="BO30" s="292"/>
      <c r="BP30" s="292"/>
      <c r="BU30" s="251">
        <f t="shared" si="15"/>
        <v>0</v>
      </c>
      <c r="EA30" s="251">
        <f t="shared" si="16"/>
        <v>-0.5</v>
      </c>
      <c r="EB30" s="251">
        <f t="shared" si="17"/>
        <v>0.25</v>
      </c>
      <c r="EC30" s="251">
        <f t="shared" si="18"/>
        <v>-0.25</v>
      </c>
      <c r="ED30" s="251">
        <f t="shared" si="7"/>
        <v>0</v>
      </c>
      <c r="EF30" s="293">
        <f>PROPOSITION!Z27</f>
        <v>2499</v>
      </c>
      <c r="EG30" s="251">
        <f t="shared" si="19"/>
        <v>1</v>
      </c>
      <c r="EH30" s="251">
        <f t="shared" si="8"/>
        <v>0</v>
      </c>
      <c r="EK30" s="251">
        <f t="shared" si="20"/>
        <v>1</v>
      </c>
      <c r="EN30" s="251">
        <f t="shared" si="21"/>
        <v>0</v>
      </c>
      <c r="EO30" s="251">
        <f t="shared" si="22"/>
        <v>0</v>
      </c>
      <c r="EP30" s="251">
        <f t="shared" si="23"/>
        <v>0</v>
      </c>
      <c r="EQ30" s="251"/>
      <c r="ER30" s="251"/>
      <c r="ES30" s="251"/>
      <c r="ET30" s="251"/>
      <c r="EU30" s="251"/>
      <c r="EV30" s="251"/>
      <c r="EW30" s="251"/>
    </row>
    <row r="31" spans="1:153" ht="15.75" customHeight="1">
      <c r="A31" s="283">
        <f t="shared" si="0"/>
        <v>0</v>
      </c>
      <c r="B31" s="284">
        <v>8</v>
      </c>
      <c r="C31" s="403">
        <f>PROPOSITION!C28</f>
        <v>0</v>
      </c>
      <c r="D31" s="1048" t="str">
        <f>PROPOSITION!D28</f>
        <v xml:space="preserve"> </v>
      </c>
      <c r="E31" s="1049"/>
      <c r="F31" s="1050"/>
      <c r="G31" s="1051" t="str">
        <f>PROPOSITION!G28</f>
        <v xml:space="preserve"> </v>
      </c>
      <c r="H31" s="1110"/>
      <c r="I31" s="1111"/>
      <c r="J31" s="1054" t="str">
        <f>PROPOSITION!J28</f>
        <v xml:space="preserve"> </v>
      </c>
      <c r="K31" s="1052"/>
      <c r="L31" s="1053"/>
      <c r="M31" s="1055" t="str">
        <f>PROPOSITION!M28</f>
        <v xml:space="preserve"> </v>
      </c>
      <c r="N31" s="1056"/>
      <c r="O31" s="1057"/>
      <c r="P31" s="1096">
        <f>MAX(0.0000001,PROPOSITION!P28)</f>
        <v>9.9999999999999995E-8</v>
      </c>
      <c r="Q31" s="1097"/>
      <c r="R31" s="1098">
        <f t="shared" si="9"/>
        <v>1500</v>
      </c>
      <c r="S31" s="1099"/>
      <c r="T31" s="285">
        <f t="shared" ref="T31:T48" si="25">IF(AA31="Y",1,0)</f>
        <v>0</v>
      </c>
      <c r="U31" s="404" t="str">
        <f>PROPOSITION!T28</f>
        <v>N</v>
      </c>
      <c r="V31" s="404" t="str">
        <f>PROPOSITION!U28</f>
        <v>N</v>
      </c>
      <c r="W31" s="485" t="str">
        <f>PROPOSITION!S28</f>
        <v>O</v>
      </c>
      <c r="X31" s="404" t="str">
        <f>PROPOSITION!R28</f>
        <v>O</v>
      </c>
      <c r="Y31" s="570">
        <f t="shared" si="3"/>
        <v>4.9999999999999982E-11</v>
      </c>
      <c r="Z31" s="601">
        <f t="shared" si="10"/>
        <v>4.9999999999999982E-2</v>
      </c>
      <c r="AA31" s="286" t="str">
        <f t="shared" si="4"/>
        <v>N</v>
      </c>
      <c r="AC31" s="287"/>
      <c r="AD31" s="288">
        <f t="shared" si="11"/>
        <v>4.9999999999999982E-11</v>
      </c>
      <c r="AE31" s="288">
        <f t="shared" si="12"/>
        <v>0</v>
      </c>
      <c r="AF31" s="288"/>
      <c r="AG31" s="248" t="s">
        <v>26</v>
      </c>
      <c r="AH31" s="249">
        <f>U15</f>
        <v>0</v>
      </c>
      <c r="AN31" s="279">
        <f>IF(PROPOSITION!Z28&gt;10,0.2,0)</f>
        <v>0.2</v>
      </c>
      <c r="AO31" s="248">
        <f t="shared" si="24"/>
        <v>0</v>
      </c>
      <c r="AP31" s="248">
        <f t="shared" si="13"/>
        <v>0</v>
      </c>
      <c r="AT31" s="248">
        <f t="shared" si="14"/>
        <v>1</v>
      </c>
      <c r="AU31" s="248">
        <f t="shared" si="5"/>
        <v>0</v>
      </c>
      <c r="BC31" s="291">
        <f t="shared" si="6"/>
        <v>0</v>
      </c>
      <c r="BD31" s="292"/>
      <c r="BE31" s="292"/>
      <c r="BF31" s="292"/>
      <c r="BG31" s="292"/>
      <c r="BH31" s="292"/>
      <c r="BI31" s="292"/>
      <c r="BJ31" s="292"/>
      <c r="BK31" s="292"/>
      <c r="BL31" s="292"/>
      <c r="BM31" s="292"/>
      <c r="BN31" s="292"/>
      <c r="BO31" s="292"/>
      <c r="BP31" s="292"/>
      <c r="BU31" s="251">
        <f t="shared" si="15"/>
        <v>0</v>
      </c>
      <c r="EA31" s="251">
        <f t="shared" si="16"/>
        <v>-0.5</v>
      </c>
      <c r="EB31" s="251">
        <f t="shared" si="17"/>
        <v>0.25</v>
      </c>
      <c r="EC31" s="251">
        <f t="shared" si="18"/>
        <v>-0.25</v>
      </c>
      <c r="ED31" s="251">
        <f t="shared" si="7"/>
        <v>0</v>
      </c>
      <c r="EF31" s="293">
        <f>PROPOSITION!Z28</f>
        <v>2499</v>
      </c>
      <c r="EG31" s="251">
        <f t="shared" si="19"/>
        <v>1</v>
      </c>
      <c r="EH31" s="251">
        <f t="shared" si="8"/>
        <v>0</v>
      </c>
      <c r="EK31" s="251">
        <f t="shared" si="20"/>
        <v>1</v>
      </c>
      <c r="EN31" s="251">
        <f t="shared" si="21"/>
        <v>0</v>
      </c>
      <c r="EO31" s="251">
        <f t="shared" si="22"/>
        <v>0</v>
      </c>
      <c r="EP31" s="251">
        <f t="shared" si="23"/>
        <v>0</v>
      </c>
      <c r="EQ31" s="251"/>
      <c r="ER31" s="251"/>
      <c r="ES31" s="251"/>
      <c r="ET31" s="251"/>
      <c r="EU31" s="251"/>
      <c r="EV31" s="251"/>
      <c r="EW31" s="251"/>
    </row>
    <row r="32" spans="1:153" ht="15.75" customHeight="1">
      <c r="A32" s="283">
        <f t="shared" si="0"/>
        <v>0</v>
      </c>
      <c r="B32" s="284">
        <v>9</v>
      </c>
      <c r="C32" s="403">
        <f>PROPOSITION!C29</f>
        <v>0</v>
      </c>
      <c r="D32" s="1048" t="str">
        <f>PROPOSITION!D29</f>
        <v xml:space="preserve"> </v>
      </c>
      <c r="E32" s="1049"/>
      <c r="F32" s="1050"/>
      <c r="G32" s="1051" t="str">
        <f>PROPOSITION!G29</f>
        <v xml:space="preserve"> </v>
      </c>
      <c r="H32" s="1110"/>
      <c r="I32" s="1111"/>
      <c r="J32" s="1054" t="str">
        <f>PROPOSITION!J29</f>
        <v xml:space="preserve"> </v>
      </c>
      <c r="K32" s="1052"/>
      <c r="L32" s="1053"/>
      <c r="M32" s="1055" t="str">
        <f>PROPOSITION!M29</f>
        <v xml:space="preserve"> </v>
      </c>
      <c r="N32" s="1056"/>
      <c r="O32" s="1057"/>
      <c r="P32" s="1096">
        <f>MAX(0.0000001,PROPOSITION!P29)</f>
        <v>9.9999999999999995E-8</v>
      </c>
      <c r="Q32" s="1097"/>
      <c r="R32" s="1098">
        <f t="shared" si="9"/>
        <v>1500</v>
      </c>
      <c r="S32" s="1099"/>
      <c r="T32" s="285">
        <f t="shared" si="25"/>
        <v>0</v>
      </c>
      <c r="U32" s="404" t="str">
        <f>PROPOSITION!T29</f>
        <v>N</v>
      </c>
      <c r="V32" s="404" t="str">
        <f>PROPOSITION!U29</f>
        <v>N</v>
      </c>
      <c r="W32" s="485" t="str">
        <f>PROPOSITION!S29</f>
        <v>O</v>
      </c>
      <c r="X32" s="404" t="str">
        <f>PROPOSITION!R29</f>
        <v>O</v>
      </c>
      <c r="Y32" s="570">
        <f t="shared" si="3"/>
        <v>4.9999999999999982E-11</v>
      </c>
      <c r="Z32" s="601">
        <f t="shared" si="10"/>
        <v>4.9999999999999982E-2</v>
      </c>
      <c r="AA32" s="286" t="str">
        <f t="shared" si="4"/>
        <v>N</v>
      </c>
      <c r="AC32" s="287"/>
      <c r="AD32" s="288">
        <f t="shared" si="11"/>
        <v>4.9999999999999982E-11</v>
      </c>
      <c r="AE32" s="288">
        <f t="shared" si="12"/>
        <v>0</v>
      </c>
      <c r="AF32" s="288"/>
      <c r="AG32" s="248" t="s">
        <v>27</v>
      </c>
      <c r="AH32" s="295" t="str">
        <f>U13</f>
        <v xml:space="preserve"> </v>
      </c>
      <c r="AI32" s="295"/>
      <c r="AJ32" s="295"/>
      <c r="AK32" s="295"/>
      <c r="AL32" s="295"/>
      <c r="AM32" s="295"/>
      <c r="AN32" s="279">
        <f>IF(PROPOSITION!Z29&gt;10,0.2,0)</f>
        <v>0.2</v>
      </c>
      <c r="AO32" s="248">
        <f t="shared" si="24"/>
        <v>0</v>
      </c>
      <c r="AP32" s="248">
        <f t="shared" si="13"/>
        <v>0</v>
      </c>
      <c r="AT32" s="248">
        <f t="shared" si="14"/>
        <v>1</v>
      </c>
      <c r="AU32" s="248">
        <f t="shared" si="5"/>
        <v>0</v>
      </c>
      <c r="BC32" s="291">
        <f t="shared" si="6"/>
        <v>0</v>
      </c>
      <c r="BD32" s="292"/>
      <c r="BE32" s="292"/>
      <c r="BF32" s="292"/>
      <c r="BG32" s="292"/>
      <c r="BH32" s="292"/>
      <c r="BI32" s="292"/>
      <c r="BJ32" s="292"/>
      <c r="BK32" s="292"/>
      <c r="BL32" s="292"/>
      <c r="BM32" s="292"/>
      <c r="BN32" s="292"/>
      <c r="BO32" s="292"/>
      <c r="BP32" s="292"/>
      <c r="BU32" s="251">
        <f t="shared" si="15"/>
        <v>0</v>
      </c>
      <c r="EA32" s="251">
        <f t="shared" si="16"/>
        <v>-0.5</v>
      </c>
      <c r="EB32" s="251">
        <f t="shared" si="17"/>
        <v>0.25</v>
      </c>
      <c r="EC32" s="251">
        <f t="shared" si="18"/>
        <v>-0.25</v>
      </c>
      <c r="ED32" s="251">
        <f t="shared" si="7"/>
        <v>0</v>
      </c>
      <c r="EF32" s="293">
        <f>PROPOSITION!Z29</f>
        <v>2499</v>
      </c>
      <c r="EG32" s="251">
        <f t="shared" si="19"/>
        <v>1</v>
      </c>
      <c r="EH32" s="251">
        <f t="shared" si="8"/>
        <v>0</v>
      </c>
      <c r="EK32" s="251">
        <f t="shared" si="20"/>
        <v>1</v>
      </c>
      <c r="EN32" s="251">
        <f t="shared" si="21"/>
        <v>0</v>
      </c>
      <c r="EO32" s="251">
        <f t="shared" si="22"/>
        <v>0</v>
      </c>
      <c r="EP32" s="251">
        <f t="shared" si="23"/>
        <v>0</v>
      </c>
      <c r="EQ32" s="251"/>
      <c r="ER32" s="251"/>
      <c r="ES32" s="251"/>
      <c r="ET32" s="251"/>
      <c r="EU32" s="251"/>
      <c r="EV32" s="251"/>
      <c r="EW32" s="251"/>
    </row>
    <row r="33" spans="1:153" ht="15.75" customHeight="1">
      <c r="A33" s="283">
        <f t="shared" si="0"/>
        <v>0</v>
      </c>
      <c r="B33" s="284">
        <v>10</v>
      </c>
      <c r="C33" s="403">
        <f>PROPOSITION!C30</f>
        <v>0</v>
      </c>
      <c r="D33" s="1048" t="str">
        <f>PROPOSITION!D30</f>
        <v xml:space="preserve"> </v>
      </c>
      <c r="E33" s="1049"/>
      <c r="F33" s="1050"/>
      <c r="G33" s="1051" t="str">
        <f>PROPOSITION!G30</f>
        <v xml:space="preserve"> </v>
      </c>
      <c r="H33" s="1110"/>
      <c r="I33" s="1111"/>
      <c r="J33" s="1054" t="str">
        <f>PROPOSITION!J30</f>
        <v xml:space="preserve"> </v>
      </c>
      <c r="K33" s="1052"/>
      <c r="L33" s="1053"/>
      <c r="M33" s="1055" t="str">
        <f>PROPOSITION!M30</f>
        <v xml:space="preserve"> </v>
      </c>
      <c r="N33" s="1056"/>
      <c r="O33" s="1057"/>
      <c r="P33" s="1096">
        <f>MAX(0.0000001,PROPOSITION!P30)</f>
        <v>9.9999999999999995E-8</v>
      </c>
      <c r="Q33" s="1097"/>
      <c r="R33" s="1098">
        <f t="shared" si="9"/>
        <v>1500</v>
      </c>
      <c r="S33" s="1099"/>
      <c r="T33" s="285">
        <f t="shared" si="25"/>
        <v>0</v>
      </c>
      <c r="U33" s="404" t="str">
        <f>PROPOSITION!T30</f>
        <v>N</v>
      </c>
      <c r="V33" s="404" t="str">
        <f>PROPOSITION!U30</f>
        <v>N</v>
      </c>
      <c r="W33" s="485" t="str">
        <f>PROPOSITION!S30</f>
        <v>O</v>
      </c>
      <c r="X33" s="404" t="str">
        <f>PROPOSITION!R30</f>
        <v>O</v>
      </c>
      <c r="Y33" s="570">
        <f t="shared" si="3"/>
        <v>4.9999999999999982E-11</v>
      </c>
      <c r="Z33" s="601">
        <f t="shared" si="10"/>
        <v>4.9999999999999982E-2</v>
      </c>
      <c r="AA33" s="286" t="str">
        <f t="shared" si="4"/>
        <v>N</v>
      </c>
      <c r="AC33" s="287"/>
      <c r="AD33" s="288">
        <f t="shared" si="11"/>
        <v>4.9999999999999982E-11</v>
      </c>
      <c r="AE33" s="288">
        <f t="shared" si="12"/>
        <v>0</v>
      </c>
      <c r="AF33" s="288"/>
      <c r="AG33" s="248" t="s">
        <v>28</v>
      </c>
      <c r="AH33" s="294" t="str">
        <f>F15</f>
        <v xml:space="preserve"> </v>
      </c>
      <c r="AI33" s="294"/>
      <c r="AJ33" s="294"/>
      <c r="AK33" s="294"/>
      <c r="AL33" s="294"/>
      <c r="AM33" s="294"/>
      <c r="AN33" s="279">
        <f>IF(PROPOSITION!Z30&gt;10,0.2,0)</f>
        <v>0.2</v>
      </c>
      <c r="AO33" s="248">
        <f t="shared" si="24"/>
        <v>0</v>
      </c>
      <c r="AP33" s="248">
        <f t="shared" si="13"/>
        <v>0</v>
      </c>
      <c r="AT33" s="248">
        <f t="shared" si="14"/>
        <v>1</v>
      </c>
      <c r="AU33" s="248">
        <f t="shared" si="5"/>
        <v>0</v>
      </c>
      <c r="BC33" s="291">
        <f t="shared" si="6"/>
        <v>0</v>
      </c>
      <c r="BD33" s="292"/>
      <c r="BE33" s="292"/>
      <c r="BF33" s="292"/>
      <c r="BG33" s="292"/>
      <c r="BH33" s="292"/>
      <c r="BI33" s="292"/>
      <c r="BJ33" s="292"/>
      <c r="BK33" s="292"/>
      <c r="BL33" s="292"/>
      <c r="BM33" s="292"/>
      <c r="BN33" s="292"/>
      <c r="BO33" s="292"/>
      <c r="BP33" s="292"/>
      <c r="BU33" s="251">
        <f t="shared" si="15"/>
        <v>0</v>
      </c>
      <c r="EA33" s="251">
        <f t="shared" si="16"/>
        <v>-0.5</v>
      </c>
      <c r="EB33" s="251">
        <f t="shared" si="17"/>
        <v>0.25</v>
      </c>
      <c r="EC33" s="251">
        <f t="shared" si="18"/>
        <v>-0.25</v>
      </c>
      <c r="ED33" s="251">
        <f t="shared" si="7"/>
        <v>0</v>
      </c>
      <c r="EF33" s="293">
        <f>PROPOSITION!Z30</f>
        <v>2499</v>
      </c>
      <c r="EG33" s="251">
        <f t="shared" si="19"/>
        <v>1</v>
      </c>
      <c r="EH33" s="251">
        <f t="shared" si="8"/>
        <v>0</v>
      </c>
      <c r="EK33" s="251">
        <f t="shared" si="20"/>
        <v>1</v>
      </c>
      <c r="EN33" s="251">
        <f t="shared" si="21"/>
        <v>0</v>
      </c>
      <c r="EO33" s="251">
        <f t="shared" si="22"/>
        <v>0</v>
      </c>
      <c r="EP33" s="251">
        <f t="shared" si="23"/>
        <v>0</v>
      </c>
      <c r="EQ33" s="251"/>
      <c r="ER33" s="251"/>
      <c r="ES33" s="251"/>
      <c r="ET33" s="251"/>
      <c r="EU33" s="251"/>
      <c r="EV33" s="251"/>
      <c r="EW33" s="251"/>
    </row>
    <row r="34" spans="1:153" ht="15.75" customHeight="1">
      <c r="A34" s="283">
        <f t="shared" si="0"/>
        <v>0</v>
      </c>
      <c r="B34" s="284">
        <v>11</v>
      </c>
      <c r="C34" s="403">
        <f>PROPOSITION!C31</f>
        <v>0</v>
      </c>
      <c r="D34" s="1048" t="str">
        <f>PROPOSITION!D31</f>
        <v xml:space="preserve"> </v>
      </c>
      <c r="E34" s="1049"/>
      <c r="F34" s="1050"/>
      <c r="G34" s="1051" t="str">
        <f>PROPOSITION!G31</f>
        <v xml:space="preserve"> </v>
      </c>
      <c r="H34" s="1110"/>
      <c r="I34" s="1111"/>
      <c r="J34" s="1054" t="str">
        <f>PROPOSITION!J31</f>
        <v xml:space="preserve"> </v>
      </c>
      <c r="K34" s="1052"/>
      <c r="L34" s="1053"/>
      <c r="M34" s="1055" t="str">
        <f>PROPOSITION!M31</f>
        <v xml:space="preserve"> </v>
      </c>
      <c r="N34" s="1056"/>
      <c r="O34" s="1057"/>
      <c r="P34" s="1096">
        <f>MAX(0.0000001,PROPOSITION!P31)</f>
        <v>9.9999999999999995E-8</v>
      </c>
      <c r="Q34" s="1097"/>
      <c r="R34" s="1098">
        <f t="shared" si="9"/>
        <v>1500</v>
      </c>
      <c r="S34" s="1099"/>
      <c r="T34" s="285">
        <f t="shared" si="25"/>
        <v>0</v>
      </c>
      <c r="U34" s="404" t="str">
        <f>PROPOSITION!T31</f>
        <v>N</v>
      </c>
      <c r="V34" s="404" t="str">
        <f>PROPOSITION!U31</f>
        <v>N</v>
      </c>
      <c r="W34" s="485" t="str">
        <f>PROPOSITION!S31</f>
        <v>O</v>
      </c>
      <c r="X34" s="404" t="str">
        <f>PROPOSITION!R31</f>
        <v>O</v>
      </c>
      <c r="Y34" s="570">
        <f t="shared" si="3"/>
        <v>4.9999999999999982E-11</v>
      </c>
      <c r="Z34" s="601">
        <f t="shared" si="10"/>
        <v>4.9999999999999982E-2</v>
      </c>
      <c r="AA34" s="286" t="str">
        <f t="shared" si="4"/>
        <v>N</v>
      </c>
      <c r="AC34" s="287"/>
      <c r="AD34" s="288">
        <f t="shared" si="11"/>
        <v>4.9999999999999982E-11</v>
      </c>
      <c r="AE34" s="288">
        <f t="shared" si="12"/>
        <v>0</v>
      </c>
      <c r="AF34" s="288"/>
      <c r="AN34" s="279">
        <f>IF(PROPOSITION!Z31&gt;10,0.2,0)</f>
        <v>0.2</v>
      </c>
      <c r="AO34" s="248">
        <f t="shared" si="24"/>
        <v>0</v>
      </c>
      <c r="AP34" s="248">
        <f t="shared" si="13"/>
        <v>0</v>
      </c>
      <c r="AT34" s="248">
        <f t="shared" si="14"/>
        <v>1</v>
      </c>
      <c r="AU34" s="248">
        <f t="shared" si="5"/>
        <v>0</v>
      </c>
      <c r="BC34" s="291">
        <f t="shared" si="6"/>
        <v>0</v>
      </c>
      <c r="BD34" s="292"/>
      <c r="BE34" s="292"/>
      <c r="BF34" s="292"/>
      <c r="BG34" s="292"/>
      <c r="BH34" s="292"/>
      <c r="BI34" s="292"/>
      <c r="BJ34" s="292"/>
      <c r="BK34" s="292"/>
      <c r="BL34" s="292"/>
      <c r="BM34" s="292"/>
      <c r="BN34" s="292"/>
      <c r="BO34" s="292"/>
      <c r="BP34" s="292"/>
      <c r="BU34" s="251">
        <f t="shared" si="15"/>
        <v>0</v>
      </c>
      <c r="EA34" s="251">
        <f t="shared" si="16"/>
        <v>-0.5</v>
      </c>
      <c r="EB34" s="251">
        <f t="shared" si="17"/>
        <v>0.25</v>
      </c>
      <c r="EC34" s="251">
        <f t="shared" si="18"/>
        <v>-0.25</v>
      </c>
      <c r="ED34" s="251">
        <f t="shared" si="7"/>
        <v>0</v>
      </c>
      <c r="EF34" s="293">
        <f>PROPOSITION!Z31</f>
        <v>2499</v>
      </c>
      <c r="EG34" s="251">
        <f t="shared" si="19"/>
        <v>1</v>
      </c>
      <c r="EH34" s="251">
        <f t="shared" si="8"/>
        <v>0</v>
      </c>
      <c r="EK34" s="251">
        <f t="shared" si="20"/>
        <v>1</v>
      </c>
      <c r="EN34" s="251">
        <f t="shared" si="21"/>
        <v>0</v>
      </c>
      <c r="EO34" s="251">
        <f t="shared" si="22"/>
        <v>0</v>
      </c>
      <c r="EP34" s="251">
        <f t="shared" si="23"/>
        <v>0</v>
      </c>
      <c r="EQ34" s="251"/>
      <c r="ER34" s="251"/>
      <c r="ES34" s="251"/>
      <c r="ET34" s="251"/>
      <c r="EU34" s="251"/>
      <c r="EV34" s="251"/>
      <c r="EW34" s="251"/>
    </row>
    <row r="35" spans="1:153" ht="15.75" customHeight="1">
      <c r="A35" s="283">
        <f t="shared" si="0"/>
        <v>0</v>
      </c>
      <c r="B35" s="284">
        <v>12</v>
      </c>
      <c r="C35" s="403">
        <f>PROPOSITION!C32</f>
        <v>0</v>
      </c>
      <c r="D35" s="1048" t="str">
        <f>PROPOSITION!D32</f>
        <v xml:space="preserve"> </v>
      </c>
      <c r="E35" s="1049"/>
      <c r="F35" s="1050"/>
      <c r="G35" s="1051" t="str">
        <f>PROPOSITION!G32</f>
        <v xml:space="preserve"> </v>
      </c>
      <c r="H35" s="1110"/>
      <c r="I35" s="1111"/>
      <c r="J35" s="1054" t="str">
        <f>PROPOSITION!J32</f>
        <v xml:space="preserve"> </v>
      </c>
      <c r="K35" s="1052"/>
      <c r="L35" s="1053"/>
      <c r="M35" s="1055" t="str">
        <f>PROPOSITION!M32</f>
        <v xml:space="preserve"> </v>
      </c>
      <c r="N35" s="1056"/>
      <c r="O35" s="1057"/>
      <c r="P35" s="1096">
        <f>MAX(0.0000001,PROPOSITION!P32)</f>
        <v>9.9999999999999995E-8</v>
      </c>
      <c r="Q35" s="1097"/>
      <c r="R35" s="1098">
        <f t="shared" si="9"/>
        <v>1500</v>
      </c>
      <c r="S35" s="1099"/>
      <c r="T35" s="285">
        <f t="shared" si="25"/>
        <v>0</v>
      </c>
      <c r="U35" s="404" t="str">
        <f>PROPOSITION!T32</f>
        <v>N</v>
      </c>
      <c r="V35" s="404" t="str">
        <f>PROPOSITION!U32</f>
        <v>N</v>
      </c>
      <c r="W35" s="485" t="str">
        <f>PROPOSITION!S32</f>
        <v>O</v>
      </c>
      <c r="X35" s="404" t="str">
        <f>PROPOSITION!R32</f>
        <v>O</v>
      </c>
      <c r="Y35" s="570">
        <f t="shared" si="3"/>
        <v>4.9999999999999982E-11</v>
      </c>
      <c r="Z35" s="601">
        <f t="shared" si="10"/>
        <v>4.9999999999999982E-2</v>
      </c>
      <c r="AA35" s="286" t="str">
        <f t="shared" si="4"/>
        <v>N</v>
      </c>
      <c r="AC35" s="287"/>
      <c r="AD35" s="288">
        <f t="shared" si="11"/>
        <v>4.9999999999999982E-11</v>
      </c>
      <c r="AE35" s="288">
        <f t="shared" si="12"/>
        <v>0</v>
      </c>
      <c r="AF35" s="288"/>
      <c r="AG35" s="248" t="s">
        <v>29</v>
      </c>
      <c r="AH35" s="296">
        <f>Y2</f>
        <v>750</v>
      </c>
      <c r="AI35" s="296"/>
      <c r="AJ35" s="296"/>
      <c r="AK35" s="296"/>
      <c r="AL35" s="296"/>
      <c r="AM35" s="296"/>
      <c r="AN35" s="279">
        <f>IF(PROPOSITION!Z32&gt;10,0.2,0)</f>
        <v>0.2</v>
      </c>
      <c r="AO35" s="248">
        <f t="shared" si="24"/>
        <v>0</v>
      </c>
      <c r="AP35" s="248">
        <f t="shared" si="13"/>
        <v>0</v>
      </c>
      <c r="AT35" s="248">
        <f t="shared" si="14"/>
        <v>1</v>
      </c>
      <c r="AU35" s="248">
        <f t="shared" si="5"/>
        <v>0</v>
      </c>
      <c r="BC35" s="291">
        <f t="shared" si="6"/>
        <v>0</v>
      </c>
      <c r="BD35" s="292"/>
      <c r="BE35" s="292"/>
      <c r="BF35" s="292"/>
      <c r="BG35" s="292"/>
      <c r="BH35" s="292"/>
      <c r="BI35" s="292"/>
      <c r="BJ35" s="292"/>
      <c r="BK35" s="292"/>
      <c r="BL35" s="292"/>
      <c r="BM35" s="292"/>
      <c r="BN35" s="292"/>
      <c r="BO35" s="292"/>
      <c r="BP35" s="292"/>
      <c r="BU35" s="251">
        <f t="shared" si="15"/>
        <v>0</v>
      </c>
      <c r="EA35" s="251">
        <f t="shared" si="16"/>
        <v>-0.5</v>
      </c>
      <c r="EB35" s="251">
        <f t="shared" si="17"/>
        <v>0.25</v>
      </c>
      <c r="EC35" s="251">
        <f t="shared" si="18"/>
        <v>-0.25</v>
      </c>
      <c r="ED35" s="251">
        <f t="shared" si="7"/>
        <v>0</v>
      </c>
      <c r="EF35" s="293">
        <f>PROPOSITION!Z32</f>
        <v>2499</v>
      </c>
      <c r="EG35" s="251">
        <f t="shared" si="19"/>
        <v>1</v>
      </c>
      <c r="EH35" s="251">
        <f t="shared" si="8"/>
        <v>0</v>
      </c>
      <c r="EK35" s="251">
        <f t="shared" si="20"/>
        <v>1</v>
      </c>
      <c r="EN35" s="251">
        <f t="shared" si="21"/>
        <v>0</v>
      </c>
      <c r="EO35" s="251">
        <f t="shared" si="22"/>
        <v>0</v>
      </c>
      <c r="EP35" s="251">
        <f t="shared" si="23"/>
        <v>0</v>
      </c>
      <c r="EQ35" s="251"/>
      <c r="ER35" s="251"/>
      <c r="ES35" s="251"/>
      <c r="ET35" s="251"/>
      <c r="EU35" s="251"/>
      <c r="EV35" s="251"/>
      <c r="EW35" s="251"/>
    </row>
    <row r="36" spans="1:153" ht="15.75" customHeight="1">
      <c r="A36" s="283">
        <f t="shared" si="0"/>
        <v>0</v>
      </c>
      <c r="B36" s="284">
        <v>13</v>
      </c>
      <c r="C36" s="403">
        <f>PROPOSITION!C33</f>
        <v>0</v>
      </c>
      <c r="D36" s="1048" t="str">
        <f>PROPOSITION!D33</f>
        <v xml:space="preserve"> </v>
      </c>
      <c r="E36" s="1049"/>
      <c r="F36" s="1050"/>
      <c r="G36" s="1051" t="str">
        <f>PROPOSITION!G33</f>
        <v xml:space="preserve"> </v>
      </c>
      <c r="H36" s="1110"/>
      <c r="I36" s="1111"/>
      <c r="J36" s="1054" t="str">
        <f>PROPOSITION!J33</f>
        <v xml:space="preserve"> </v>
      </c>
      <c r="K36" s="1052"/>
      <c r="L36" s="1053"/>
      <c r="M36" s="1055" t="str">
        <f>PROPOSITION!M33</f>
        <v xml:space="preserve"> </v>
      </c>
      <c r="N36" s="1056"/>
      <c r="O36" s="1057"/>
      <c r="P36" s="1096">
        <f>MAX(0.0000001,PROPOSITION!P33)</f>
        <v>9.9999999999999995E-8</v>
      </c>
      <c r="Q36" s="1097"/>
      <c r="R36" s="1098">
        <f t="shared" si="9"/>
        <v>1500</v>
      </c>
      <c r="S36" s="1099"/>
      <c r="T36" s="285">
        <f t="shared" si="25"/>
        <v>0</v>
      </c>
      <c r="U36" s="404" t="str">
        <f>PROPOSITION!T33</f>
        <v>N</v>
      </c>
      <c r="V36" s="404" t="str">
        <f>PROPOSITION!U33</f>
        <v>N</v>
      </c>
      <c r="W36" s="485" t="str">
        <f>PROPOSITION!S33</f>
        <v>O</v>
      </c>
      <c r="X36" s="404" t="str">
        <f>PROPOSITION!R33</f>
        <v>O</v>
      </c>
      <c r="Y36" s="570">
        <f t="shared" si="3"/>
        <v>4.9999999999999982E-11</v>
      </c>
      <c r="Z36" s="601">
        <f t="shared" si="10"/>
        <v>4.9999999999999982E-2</v>
      </c>
      <c r="AA36" s="286" t="str">
        <f t="shared" si="4"/>
        <v>N</v>
      </c>
      <c r="AC36" s="287"/>
      <c r="AD36" s="288">
        <f t="shared" si="11"/>
        <v>4.9999999999999982E-11</v>
      </c>
      <c r="AE36" s="288">
        <f t="shared" si="12"/>
        <v>0</v>
      </c>
      <c r="AF36" s="288"/>
      <c r="AG36" s="248" t="s">
        <v>30</v>
      </c>
      <c r="AH36" s="296">
        <f>P50</f>
        <v>2.4999999999999985E-6</v>
      </c>
      <c r="AI36" s="296"/>
      <c r="AJ36" s="296"/>
      <c r="AK36" s="296"/>
      <c r="AL36" s="296"/>
      <c r="AM36" s="296"/>
      <c r="AN36" s="279">
        <f>IF(PROPOSITION!Z33&gt;10,0.2,0)</f>
        <v>0.2</v>
      </c>
      <c r="AO36" s="248">
        <f t="shared" si="24"/>
        <v>0</v>
      </c>
      <c r="AP36" s="248">
        <f t="shared" si="13"/>
        <v>0</v>
      </c>
      <c r="AT36" s="248">
        <f t="shared" si="14"/>
        <v>1</v>
      </c>
      <c r="AU36" s="248">
        <f t="shared" si="5"/>
        <v>0</v>
      </c>
      <c r="BC36" s="291">
        <f t="shared" si="6"/>
        <v>0</v>
      </c>
      <c r="BD36" s="292"/>
      <c r="BE36" s="292"/>
      <c r="BF36" s="292"/>
      <c r="BG36" s="292"/>
      <c r="BH36" s="292"/>
      <c r="BI36" s="292"/>
      <c r="BJ36" s="292"/>
      <c r="BK36" s="292"/>
      <c r="BL36" s="292"/>
      <c r="BM36" s="292"/>
      <c r="BN36" s="292"/>
      <c r="BO36" s="292"/>
      <c r="BP36" s="292"/>
      <c r="BU36" s="251">
        <f t="shared" si="15"/>
        <v>0</v>
      </c>
      <c r="EA36" s="251">
        <f t="shared" si="16"/>
        <v>-0.5</v>
      </c>
      <c r="EB36" s="251">
        <f t="shared" si="17"/>
        <v>0.25</v>
      </c>
      <c r="EC36" s="251">
        <f t="shared" si="18"/>
        <v>-0.25</v>
      </c>
      <c r="ED36" s="251">
        <f t="shared" si="7"/>
        <v>0</v>
      </c>
      <c r="EF36" s="293">
        <f>PROPOSITION!Z33</f>
        <v>2499</v>
      </c>
      <c r="EG36" s="251">
        <f t="shared" si="19"/>
        <v>1</v>
      </c>
      <c r="EH36" s="251">
        <f t="shared" si="8"/>
        <v>0</v>
      </c>
      <c r="EK36" s="251">
        <f t="shared" si="20"/>
        <v>1</v>
      </c>
      <c r="EN36" s="251">
        <f t="shared" si="21"/>
        <v>0</v>
      </c>
      <c r="EO36" s="251">
        <f t="shared" si="22"/>
        <v>0</v>
      </c>
      <c r="EP36" s="251">
        <f t="shared" si="23"/>
        <v>0</v>
      </c>
      <c r="EQ36" s="251"/>
      <c r="ER36" s="251"/>
      <c r="ES36" s="251"/>
      <c r="ET36" s="251"/>
      <c r="EU36" s="251"/>
      <c r="EV36" s="251"/>
      <c r="EW36" s="251"/>
    </row>
    <row r="37" spans="1:153" ht="15.75" customHeight="1">
      <c r="A37" s="283">
        <f t="shared" si="0"/>
        <v>0</v>
      </c>
      <c r="B37" s="284">
        <v>14</v>
      </c>
      <c r="C37" s="403">
        <f>PROPOSITION!C34</f>
        <v>0</v>
      </c>
      <c r="D37" s="1048" t="str">
        <f>PROPOSITION!D34</f>
        <v xml:space="preserve"> </v>
      </c>
      <c r="E37" s="1049"/>
      <c r="F37" s="1050"/>
      <c r="G37" s="1051" t="str">
        <f>PROPOSITION!G34</f>
        <v xml:space="preserve"> </v>
      </c>
      <c r="H37" s="1110"/>
      <c r="I37" s="1111"/>
      <c r="J37" s="1054" t="str">
        <f>PROPOSITION!J34</f>
        <v xml:space="preserve"> </v>
      </c>
      <c r="K37" s="1052"/>
      <c r="L37" s="1053"/>
      <c r="M37" s="1055" t="str">
        <f>PROPOSITION!M34</f>
        <v xml:space="preserve"> </v>
      </c>
      <c r="N37" s="1056"/>
      <c r="O37" s="1057"/>
      <c r="P37" s="1096">
        <f>MAX(0.0000001,PROPOSITION!P34)</f>
        <v>9.9999999999999995E-8</v>
      </c>
      <c r="Q37" s="1097"/>
      <c r="R37" s="1098">
        <f t="shared" si="9"/>
        <v>1500</v>
      </c>
      <c r="S37" s="1099"/>
      <c r="T37" s="285">
        <f t="shared" si="25"/>
        <v>0</v>
      </c>
      <c r="U37" s="404" t="str">
        <f>PROPOSITION!T34</f>
        <v>N</v>
      </c>
      <c r="V37" s="404" t="str">
        <f>PROPOSITION!U34</f>
        <v>N</v>
      </c>
      <c r="W37" s="485" t="str">
        <f>PROPOSITION!S34</f>
        <v>O</v>
      </c>
      <c r="X37" s="404" t="str">
        <f>PROPOSITION!R34</f>
        <v>O</v>
      </c>
      <c r="Y37" s="570">
        <f t="shared" si="3"/>
        <v>4.9999999999999982E-11</v>
      </c>
      <c r="Z37" s="601">
        <f t="shared" si="10"/>
        <v>4.9999999999999982E-2</v>
      </c>
      <c r="AA37" s="286" t="str">
        <f t="shared" si="4"/>
        <v>N</v>
      </c>
      <c r="AC37" s="287"/>
      <c r="AD37" s="288">
        <f t="shared" si="11"/>
        <v>4.9999999999999982E-11</v>
      </c>
      <c r="AE37" s="288">
        <f t="shared" si="12"/>
        <v>0</v>
      </c>
      <c r="AF37" s="288"/>
      <c r="AG37" s="248" t="s">
        <v>31</v>
      </c>
      <c r="AH37" s="296">
        <f>Y50</f>
        <v>1.2500000000000002E-9</v>
      </c>
      <c r="AI37" s="296"/>
      <c r="AJ37" s="296"/>
      <c r="AK37" s="296"/>
      <c r="AL37" s="296"/>
      <c r="AM37" s="296"/>
      <c r="AN37" s="279">
        <f>IF(PROPOSITION!Z34&gt;10,0.2,0)</f>
        <v>0.2</v>
      </c>
      <c r="AO37" s="248">
        <f t="shared" si="24"/>
        <v>0</v>
      </c>
      <c r="AP37" s="248">
        <f t="shared" si="13"/>
        <v>0</v>
      </c>
      <c r="AT37" s="248">
        <f t="shared" si="14"/>
        <v>1</v>
      </c>
      <c r="AU37" s="248">
        <f t="shared" si="5"/>
        <v>0</v>
      </c>
      <c r="BC37" s="291">
        <f t="shared" si="6"/>
        <v>0</v>
      </c>
      <c r="BD37" s="292"/>
      <c r="BE37" s="292"/>
      <c r="BF37" s="292"/>
      <c r="BG37" s="292"/>
      <c r="BH37" s="292"/>
      <c r="BI37" s="292"/>
      <c r="BJ37" s="292"/>
      <c r="BK37" s="292"/>
      <c r="BL37" s="292"/>
      <c r="BM37" s="292"/>
      <c r="BN37" s="292"/>
      <c r="BO37" s="292"/>
      <c r="BP37" s="292"/>
      <c r="BU37" s="251">
        <f t="shared" si="15"/>
        <v>0</v>
      </c>
      <c r="EA37" s="251">
        <f t="shared" si="16"/>
        <v>-0.5</v>
      </c>
      <c r="EB37" s="251">
        <f t="shared" si="17"/>
        <v>0.25</v>
      </c>
      <c r="EC37" s="251">
        <f t="shared" si="18"/>
        <v>-0.25</v>
      </c>
      <c r="ED37" s="251">
        <f t="shared" si="7"/>
        <v>0</v>
      </c>
      <c r="EF37" s="293">
        <f>PROPOSITION!Z34</f>
        <v>2499</v>
      </c>
      <c r="EG37" s="251">
        <f t="shared" si="19"/>
        <v>1</v>
      </c>
      <c r="EH37" s="251">
        <f t="shared" si="8"/>
        <v>0</v>
      </c>
      <c r="EK37" s="251">
        <f t="shared" si="20"/>
        <v>1</v>
      </c>
      <c r="EN37" s="251">
        <f t="shared" si="21"/>
        <v>0</v>
      </c>
      <c r="EO37" s="251">
        <f t="shared" si="22"/>
        <v>0</v>
      </c>
      <c r="EP37" s="251">
        <f t="shared" si="23"/>
        <v>0</v>
      </c>
      <c r="EQ37" s="251"/>
      <c r="ER37" s="251"/>
      <c r="ES37" s="251"/>
      <c r="ET37" s="251"/>
      <c r="EU37" s="251"/>
      <c r="EV37" s="251"/>
      <c r="EW37" s="251"/>
    </row>
    <row r="38" spans="1:153" ht="15.75" customHeight="1">
      <c r="A38" s="283">
        <f t="shared" si="0"/>
        <v>0</v>
      </c>
      <c r="B38" s="284">
        <v>15</v>
      </c>
      <c r="C38" s="403">
        <f>PROPOSITION!C35</f>
        <v>0</v>
      </c>
      <c r="D38" s="1048" t="str">
        <f>PROPOSITION!D35</f>
        <v xml:space="preserve"> </v>
      </c>
      <c r="E38" s="1049"/>
      <c r="F38" s="1050"/>
      <c r="G38" s="1051" t="str">
        <f>PROPOSITION!G35</f>
        <v xml:space="preserve"> </v>
      </c>
      <c r="H38" s="1110"/>
      <c r="I38" s="1111"/>
      <c r="J38" s="1054" t="str">
        <f>PROPOSITION!J35</f>
        <v xml:space="preserve"> </v>
      </c>
      <c r="K38" s="1052"/>
      <c r="L38" s="1053"/>
      <c r="M38" s="1055" t="str">
        <f>PROPOSITION!M35</f>
        <v xml:space="preserve"> </v>
      </c>
      <c r="N38" s="1056"/>
      <c r="O38" s="1057"/>
      <c r="P38" s="1096">
        <f>MAX(0.0000001,PROPOSITION!P35)</f>
        <v>9.9999999999999995E-8</v>
      </c>
      <c r="Q38" s="1097"/>
      <c r="R38" s="1098">
        <f t="shared" si="9"/>
        <v>1500</v>
      </c>
      <c r="S38" s="1099"/>
      <c r="T38" s="285">
        <f t="shared" si="25"/>
        <v>0</v>
      </c>
      <c r="U38" s="404" t="str">
        <f>PROPOSITION!T35</f>
        <v>N</v>
      </c>
      <c r="V38" s="404" t="str">
        <f>PROPOSITION!U35</f>
        <v>N</v>
      </c>
      <c r="W38" s="485" t="str">
        <f>PROPOSITION!S35</f>
        <v>O</v>
      </c>
      <c r="X38" s="404" t="str">
        <f>PROPOSITION!R35</f>
        <v>O</v>
      </c>
      <c r="Y38" s="570">
        <f t="shared" si="3"/>
        <v>4.9999999999999982E-11</v>
      </c>
      <c r="Z38" s="601">
        <f t="shared" si="10"/>
        <v>4.9999999999999982E-2</v>
      </c>
      <c r="AA38" s="286" t="str">
        <f t="shared" si="4"/>
        <v>N</v>
      </c>
      <c r="AC38" s="287"/>
      <c r="AD38" s="288">
        <f t="shared" si="11"/>
        <v>4.9999999999999982E-11</v>
      </c>
      <c r="AE38" s="288">
        <f t="shared" si="12"/>
        <v>0</v>
      </c>
      <c r="AF38" s="288"/>
      <c r="AG38" s="248" t="s">
        <v>32</v>
      </c>
      <c r="AH38" s="296" t="e">
        <f>#REF!</f>
        <v>#REF!</v>
      </c>
      <c r="AI38" s="296"/>
      <c r="AJ38" s="296"/>
      <c r="AK38" s="296"/>
      <c r="AL38" s="296"/>
      <c r="AM38" s="296"/>
      <c r="AN38" s="279">
        <f>IF(PROPOSITION!Z35&gt;10,0.2,0)</f>
        <v>0.2</v>
      </c>
      <c r="AO38" s="248">
        <f t="shared" si="24"/>
        <v>0</v>
      </c>
      <c r="AP38" s="248">
        <f t="shared" si="13"/>
        <v>0</v>
      </c>
      <c r="AT38" s="248">
        <f t="shared" si="14"/>
        <v>1</v>
      </c>
      <c r="AU38" s="248">
        <f t="shared" si="5"/>
        <v>0</v>
      </c>
      <c r="BC38" s="291">
        <f t="shared" si="6"/>
        <v>0</v>
      </c>
      <c r="BD38" s="292"/>
      <c r="BE38" s="292"/>
      <c r="BF38" s="292"/>
      <c r="BG38" s="292"/>
      <c r="BH38" s="292"/>
      <c r="BI38" s="292"/>
      <c r="BJ38" s="292"/>
      <c r="BK38" s="292"/>
      <c r="BL38" s="292"/>
      <c r="BM38" s="292"/>
      <c r="BN38" s="292"/>
      <c r="BO38" s="292"/>
      <c r="BP38" s="292"/>
      <c r="BU38" s="251">
        <f t="shared" si="15"/>
        <v>0</v>
      </c>
      <c r="EA38" s="251">
        <f t="shared" si="16"/>
        <v>-0.5</v>
      </c>
      <c r="EB38" s="251">
        <f t="shared" si="17"/>
        <v>0.25</v>
      </c>
      <c r="EC38" s="251">
        <f t="shared" si="18"/>
        <v>-0.25</v>
      </c>
      <c r="ED38" s="251">
        <f t="shared" si="7"/>
        <v>0</v>
      </c>
      <c r="EF38" s="293">
        <f>PROPOSITION!Z35</f>
        <v>2499</v>
      </c>
      <c r="EG38" s="251">
        <f t="shared" si="19"/>
        <v>1</v>
      </c>
      <c r="EH38" s="251">
        <f t="shared" si="8"/>
        <v>0</v>
      </c>
      <c r="EK38" s="251">
        <f t="shared" si="20"/>
        <v>1</v>
      </c>
      <c r="EN38" s="251">
        <f t="shared" si="21"/>
        <v>0</v>
      </c>
      <c r="EO38" s="251">
        <f t="shared" si="22"/>
        <v>0</v>
      </c>
      <c r="EP38" s="251">
        <f t="shared" si="23"/>
        <v>0</v>
      </c>
      <c r="EQ38" s="251"/>
      <c r="ER38" s="251"/>
      <c r="ES38" s="251"/>
      <c r="ET38" s="251"/>
      <c r="EU38" s="251"/>
      <c r="EV38" s="251"/>
      <c r="EW38" s="251"/>
    </row>
    <row r="39" spans="1:153" ht="15.75" customHeight="1">
      <c r="A39" s="283">
        <f t="shared" si="0"/>
        <v>0</v>
      </c>
      <c r="B39" s="284">
        <v>16</v>
      </c>
      <c r="C39" s="403">
        <f>PROPOSITION!C36</f>
        <v>0</v>
      </c>
      <c r="D39" s="1048" t="str">
        <f>PROPOSITION!D36</f>
        <v xml:space="preserve"> </v>
      </c>
      <c r="E39" s="1049"/>
      <c r="F39" s="1050"/>
      <c r="G39" s="1051" t="str">
        <f>PROPOSITION!G36</f>
        <v xml:space="preserve"> </v>
      </c>
      <c r="H39" s="1110"/>
      <c r="I39" s="1111"/>
      <c r="J39" s="1054" t="str">
        <f>PROPOSITION!J36</f>
        <v xml:space="preserve"> </v>
      </c>
      <c r="K39" s="1052"/>
      <c r="L39" s="1053"/>
      <c r="M39" s="1055" t="str">
        <f>PROPOSITION!M36</f>
        <v xml:space="preserve"> </v>
      </c>
      <c r="N39" s="1056"/>
      <c r="O39" s="1057"/>
      <c r="P39" s="1096">
        <f>MAX(0.0000001,PROPOSITION!P36)</f>
        <v>9.9999999999999995E-8</v>
      </c>
      <c r="Q39" s="1097"/>
      <c r="R39" s="1098">
        <f t="shared" si="9"/>
        <v>1500</v>
      </c>
      <c r="S39" s="1099"/>
      <c r="T39" s="285">
        <f t="shared" si="25"/>
        <v>0</v>
      </c>
      <c r="U39" s="404" t="str">
        <f>PROPOSITION!T36</f>
        <v>N</v>
      </c>
      <c r="V39" s="404" t="str">
        <f>PROPOSITION!U36</f>
        <v>N</v>
      </c>
      <c r="W39" s="485" t="str">
        <f>PROPOSITION!S36</f>
        <v>O</v>
      </c>
      <c r="X39" s="404" t="str">
        <f>PROPOSITION!R36</f>
        <v>O</v>
      </c>
      <c r="Y39" s="570">
        <f t="shared" si="3"/>
        <v>4.9999999999999982E-11</v>
      </c>
      <c r="Z39" s="601">
        <f t="shared" si="10"/>
        <v>4.9999999999999982E-2</v>
      </c>
      <c r="AA39" s="286" t="str">
        <f t="shared" si="4"/>
        <v>N</v>
      </c>
      <c r="AC39" s="287"/>
      <c r="AD39" s="288">
        <f t="shared" si="11"/>
        <v>4.9999999999999982E-11</v>
      </c>
      <c r="AE39" s="288">
        <f t="shared" si="12"/>
        <v>0</v>
      </c>
      <c r="AF39" s="288"/>
      <c r="AG39" s="248" t="s">
        <v>33</v>
      </c>
      <c r="AH39" s="296" t="e">
        <f>#REF!</f>
        <v>#REF!</v>
      </c>
      <c r="AI39" s="296"/>
      <c r="AJ39" s="296"/>
      <c r="AK39" s="296"/>
      <c r="AL39" s="296"/>
      <c r="AM39" s="296"/>
      <c r="AN39" s="279">
        <f>IF(PROPOSITION!Z36&gt;10,0.2,0)</f>
        <v>0.2</v>
      </c>
      <c r="AO39" s="248">
        <f t="shared" si="24"/>
        <v>0</v>
      </c>
      <c r="AP39" s="248">
        <f t="shared" si="13"/>
        <v>0</v>
      </c>
      <c r="AT39" s="248">
        <f t="shared" si="14"/>
        <v>1</v>
      </c>
      <c r="AU39" s="248">
        <f t="shared" si="5"/>
        <v>0</v>
      </c>
      <c r="BC39" s="291">
        <f t="shared" si="6"/>
        <v>0</v>
      </c>
      <c r="BD39" s="292"/>
      <c r="BE39" s="292"/>
      <c r="BF39" s="292"/>
      <c r="BG39" s="292"/>
      <c r="BH39" s="292"/>
      <c r="BI39" s="292"/>
      <c r="BJ39" s="292"/>
      <c r="BK39" s="292"/>
      <c r="BL39" s="292"/>
      <c r="BM39" s="292"/>
      <c r="BN39" s="292"/>
      <c r="BO39" s="292"/>
      <c r="BP39" s="292"/>
      <c r="BU39" s="251">
        <f t="shared" si="15"/>
        <v>0</v>
      </c>
      <c r="EA39" s="251">
        <f t="shared" si="16"/>
        <v>-0.5</v>
      </c>
      <c r="EB39" s="251">
        <f t="shared" si="17"/>
        <v>0.25</v>
      </c>
      <c r="EC39" s="251">
        <f t="shared" si="18"/>
        <v>-0.25</v>
      </c>
      <c r="ED39" s="251">
        <f t="shared" si="7"/>
        <v>0</v>
      </c>
      <c r="EF39" s="293">
        <f>PROPOSITION!Z36</f>
        <v>2499</v>
      </c>
      <c r="EG39" s="251">
        <f t="shared" si="19"/>
        <v>1</v>
      </c>
      <c r="EH39" s="251">
        <f t="shared" si="8"/>
        <v>0</v>
      </c>
      <c r="EK39" s="251">
        <f t="shared" si="20"/>
        <v>1</v>
      </c>
      <c r="EN39" s="251">
        <f t="shared" si="21"/>
        <v>0</v>
      </c>
      <c r="EO39" s="251">
        <f t="shared" si="22"/>
        <v>0</v>
      </c>
      <c r="EP39" s="251">
        <f t="shared" si="23"/>
        <v>0</v>
      </c>
      <c r="EQ39" s="251"/>
      <c r="ER39" s="251"/>
      <c r="ES39" s="251"/>
      <c r="ET39" s="251"/>
      <c r="EU39" s="251"/>
      <c r="EV39" s="251"/>
      <c r="EW39" s="251"/>
    </row>
    <row r="40" spans="1:153" ht="15.75" customHeight="1">
      <c r="A40" s="283">
        <f t="shared" si="0"/>
        <v>0</v>
      </c>
      <c r="B40" s="284">
        <v>17</v>
      </c>
      <c r="C40" s="403">
        <f>PROPOSITION!C37</f>
        <v>0</v>
      </c>
      <c r="D40" s="1048" t="str">
        <f>PROPOSITION!D37</f>
        <v xml:space="preserve"> </v>
      </c>
      <c r="E40" s="1049"/>
      <c r="F40" s="1050"/>
      <c r="G40" s="1051" t="str">
        <f>PROPOSITION!G37</f>
        <v xml:space="preserve"> </v>
      </c>
      <c r="H40" s="1110"/>
      <c r="I40" s="1111"/>
      <c r="J40" s="1054" t="str">
        <f>PROPOSITION!J37</f>
        <v xml:space="preserve"> </v>
      </c>
      <c r="K40" s="1052"/>
      <c r="L40" s="1053"/>
      <c r="M40" s="1055" t="str">
        <f>PROPOSITION!M37</f>
        <v xml:space="preserve"> </v>
      </c>
      <c r="N40" s="1056"/>
      <c r="O40" s="1057"/>
      <c r="P40" s="1096">
        <f>MAX(0.0000001,PROPOSITION!P37)</f>
        <v>9.9999999999999995E-8</v>
      </c>
      <c r="Q40" s="1097"/>
      <c r="R40" s="1098">
        <f t="shared" si="9"/>
        <v>1500</v>
      </c>
      <c r="S40" s="1099"/>
      <c r="T40" s="285">
        <f t="shared" si="25"/>
        <v>0</v>
      </c>
      <c r="U40" s="404" t="str">
        <f>PROPOSITION!T37</f>
        <v>N</v>
      </c>
      <c r="V40" s="404" t="str">
        <f>PROPOSITION!U37</f>
        <v>N</v>
      </c>
      <c r="W40" s="485" t="str">
        <f>PROPOSITION!S37</f>
        <v>O</v>
      </c>
      <c r="X40" s="404" t="str">
        <f>PROPOSITION!R37</f>
        <v>O</v>
      </c>
      <c r="Y40" s="570">
        <f t="shared" si="3"/>
        <v>4.9999999999999982E-11</v>
      </c>
      <c r="Z40" s="601">
        <f t="shared" si="10"/>
        <v>4.9999999999999982E-2</v>
      </c>
      <c r="AA40" s="286" t="str">
        <f t="shared" si="4"/>
        <v>N</v>
      </c>
      <c r="AC40" s="287"/>
      <c r="AD40" s="288">
        <f t="shared" si="11"/>
        <v>4.9999999999999982E-11</v>
      </c>
      <c r="AE40" s="288">
        <f t="shared" si="12"/>
        <v>0</v>
      </c>
      <c r="AF40" s="288"/>
      <c r="AG40" s="248" t="s">
        <v>34</v>
      </c>
      <c r="AH40" s="297">
        <f>J50</f>
        <v>0.05</v>
      </c>
      <c r="AI40" s="297"/>
      <c r="AJ40" s="297"/>
      <c r="AK40" s="297"/>
      <c r="AL40" s="297"/>
      <c r="AM40" s="297"/>
      <c r="AN40" s="279">
        <f>IF(PROPOSITION!Z37&gt;10,0.2,0)</f>
        <v>0.2</v>
      </c>
      <c r="AO40" s="248">
        <f t="shared" si="24"/>
        <v>0</v>
      </c>
      <c r="AP40" s="248">
        <f t="shared" si="13"/>
        <v>0</v>
      </c>
      <c r="AT40" s="248">
        <f t="shared" si="14"/>
        <v>1</v>
      </c>
      <c r="AU40" s="248">
        <f t="shared" si="5"/>
        <v>0</v>
      </c>
      <c r="BC40" s="291">
        <f t="shared" si="6"/>
        <v>0</v>
      </c>
      <c r="BD40" s="292"/>
      <c r="BE40" s="292"/>
      <c r="BF40" s="292"/>
      <c r="BG40" s="292"/>
      <c r="BH40" s="292"/>
      <c r="BI40" s="292"/>
      <c r="BJ40" s="292"/>
      <c r="BK40" s="292"/>
      <c r="BL40" s="292"/>
      <c r="BM40" s="292"/>
      <c r="BN40" s="292"/>
      <c r="BO40" s="292"/>
      <c r="BP40" s="292"/>
      <c r="BU40" s="251">
        <f t="shared" si="15"/>
        <v>0</v>
      </c>
      <c r="EA40" s="251">
        <f t="shared" si="16"/>
        <v>-0.5</v>
      </c>
      <c r="EB40" s="251">
        <f t="shared" si="17"/>
        <v>0.25</v>
      </c>
      <c r="EC40" s="251">
        <f t="shared" si="18"/>
        <v>-0.25</v>
      </c>
      <c r="ED40" s="251">
        <f t="shared" si="7"/>
        <v>0</v>
      </c>
      <c r="EF40" s="293">
        <f>PROPOSITION!Z37</f>
        <v>2499</v>
      </c>
      <c r="EG40" s="251">
        <f t="shared" si="19"/>
        <v>1</v>
      </c>
      <c r="EH40" s="251">
        <f t="shared" si="8"/>
        <v>0</v>
      </c>
      <c r="EK40" s="251">
        <f t="shared" si="20"/>
        <v>1</v>
      </c>
      <c r="EN40" s="251">
        <f t="shared" si="21"/>
        <v>0</v>
      </c>
      <c r="EO40" s="251">
        <f t="shared" si="22"/>
        <v>0</v>
      </c>
      <c r="EP40" s="251">
        <f t="shared" si="23"/>
        <v>0</v>
      </c>
      <c r="EQ40" s="251"/>
      <c r="ER40" s="251"/>
      <c r="ES40" s="251"/>
      <c r="ET40" s="251"/>
      <c r="EU40" s="251"/>
      <c r="EV40" s="251"/>
      <c r="EW40" s="251"/>
    </row>
    <row r="41" spans="1:153" ht="15.75" customHeight="1">
      <c r="A41" s="283">
        <f t="shared" si="0"/>
        <v>0</v>
      </c>
      <c r="B41" s="284">
        <v>18</v>
      </c>
      <c r="C41" s="403">
        <f>PROPOSITION!C38</f>
        <v>0</v>
      </c>
      <c r="D41" s="1048" t="str">
        <f>PROPOSITION!D38</f>
        <v xml:space="preserve"> </v>
      </c>
      <c r="E41" s="1049"/>
      <c r="F41" s="1050"/>
      <c r="G41" s="1051" t="str">
        <f>PROPOSITION!G38</f>
        <v xml:space="preserve"> </v>
      </c>
      <c r="H41" s="1110"/>
      <c r="I41" s="1111"/>
      <c r="J41" s="1054" t="str">
        <f>PROPOSITION!J38</f>
        <v xml:space="preserve"> </v>
      </c>
      <c r="K41" s="1052"/>
      <c r="L41" s="1053"/>
      <c r="M41" s="1055" t="str">
        <f>PROPOSITION!M38</f>
        <v xml:space="preserve"> </v>
      </c>
      <c r="N41" s="1056"/>
      <c r="O41" s="1057"/>
      <c r="P41" s="1096">
        <f>MAX(0.0000001,PROPOSITION!P38)</f>
        <v>9.9999999999999995E-8</v>
      </c>
      <c r="Q41" s="1097"/>
      <c r="R41" s="1098">
        <f t="shared" si="9"/>
        <v>1500</v>
      </c>
      <c r="S41" s="1099"/>
      <c r="T41" s="285">
        <f t="shared" si="25"/>
        <v>0</v>
      </c>
      <c r="U41" s="404" t="str">
        <f>PROPOSITION!T38</f>
        <v>N</v>
      </c>
      <c r="V41" s="404" t="str">
        <f>PROPOSITION!U38</f>
        <v>N</v>
      </c>
      <c r="W41" s="485" t="str">
        <f>PROPOSITION!S38</f>
        <v>O</v>
      </c>
      <c r="X41" s="404" t="str">
        <f>PROPOSITION!R38</f>
        <v>O</v>
      </c>
      <c r="Y41" s="570">
        <f t="shared" si="3"/>
        <v>4.9999999999999982E-11</v>
      </c>
      <c r="Z41" s="601">
        <f t="shared" si="10"/>
        <v>4.9999999999999982E-2</v>
      </c>
      <c r="AA41" s="286" t="str">
        <f t="shared" si="4"/>
        <v>N</v>
      </c>
      <c r="AC41" s="287"/>
      <c r="AD41" s="288">
        <f t="shared" si="11"/>
        <v>4.9999999999999982E-11</v>
      </c>
      <c r="AE41" s="288">
        <f t="shared" si="12"/>
        <v>0</v>
      </c>
      <c r="AF41" s="288"/>
      <c r="AG41" s="248" t="s">
        <v>35</v>
      </c>
      <c r="AH41" s="294" t="str">
        <f>N13</f>
        <v>Aucune</v>
      </c>
      <c r="AI41" s="294"/>
      <c r="AJ41" s="294"/>
      <c r="AK41" s="294"/>
      <c r="AL41" s="294"/>
      <c r="AM41" s="294"/>
      <c r="AN41" s="279">
        <f>IF(PROPOSITION!Z38&gt;10,0.2,0)</f>
        <v>0.2</v>
      </c>
      <c r="AO41" s="248">
        <f t="shared" si="24"/>
        <v>0</v>
      </c>
      <c r="AP41" s="248">
        <f t="shared" si="13"/>
        <v>0</v>
      </c>
      <c r="AT41" s="248">
        <f t="shared" si="14"/>
        <v>1</v>
      </c>
      <c r="AU41" s="248">
        <f t="shared" si="5"/>
        <v>0</v>
      </c>
      <c r="BC41" s="291">
        <f t="shared" si="6"/>
        <v>0</v>
      </c>
      <c r="BD41" s="292"/>
      <c r="BE41" s="292"/>
      <c r="BF41" s="292"/>
      <c r="BG41" s="292"/>
      <c r="BH41" s="292"/>
      <c r="BI41" s="292"/>
      <c r="BJ41" s="292"/>
      <c r="BK41" s="292"/>
      <c r="BL41" s="292"/>
      <c r="BM41" s="292"/>
      <c r="BN41" s="292"/>
      <c r="BO41" s="292"/>
      <c r="BP41" s="292"/>
      <c r="BU41" s="251">
        <f t="shared" si="15"/>
        <v>0</v>
      </c>
      <c r="EA41" s="251">
        <f t="shared" si="16"/>
        <v>-0.5</v>
      </c>
      <c r="EB41" s="251">
        <f t="shared" si="17"/>
        <v>0.25</v>
      </c>
      <c r="EC41" s="251">
        <f t="shared" si="18"/>
        <v>-0.25</v>
      </c>
      <c r="ED41" s="251">
        <f t="shared" si="7"/>
        <v>0</v>
      </c>
      <c r="EF41" s="293">
        <f>PROPOSITION!Z38</f>
        <v>2499</v>
      </c>
      <c r="EG41" s="251">
        <f t="shared" si="19"/>
        <v>1</v>
      </c>
      <c r="EH41" s="251">
        <f t="shared" si="8"/>
        <v>0</v>
      </c>
      <c r="EK41" s="251">
        <f t="shared" si="20"/>
        <v>1</v>
      </c>
      <c r="EN41" s="251">
        <f t="shared" si="21"/>
        <v>0</v>
      </c>
      <c r="EO41" s="251">
        <f t="shared" si="22"/>
        <v>0</v>
      </c>
      <c r="EP41" s="251">
        <f t="shared" si="23"/>
        <v>0</v>
      </c>
      <c r="EQ41" s="251"/>
      <c r="ER41" s="251"/>
      <c r="ES41" s="251"/>
      <c r="ET41" s="251"/>
      <c r="EU41" s="251"/>
      <c r="EV41" s="251"/>
      <c r="EW41" s="251"/>
    </row>
    <row r="42" spans="1:153" ht="15.75" customHeight="1">
      <c r="A42" s="283">
        <f t="shared" si="0"/>
        <v>0</v>
      </c>
      <c r="B42" s="284">
        <v>19</v>
      </c>
      <c r="C42" s="403">
        <f>PROPOSITION!C39</f>
        <v>0</v>
      </c>
      <c r="D42" s="1048" t="str">
        <f>PROPOSITION!D39</f>
        <v xml:space="preserve"> </v>
      </c>
      <c r="E42" s="1049"/>
      <c r="F42" s="1050"/>
      <c r="G42" s="1051" t="str">
        <f>PROPOSITION!G39</f>
        <v xml:space="preserve"> </v>
      </c>
      <c r="H42" s="1110"/>
      <c r="I42" s="1111"/>
      <c r="J42" s="1054" t="str">
        <f>PROPOSITION!J39</f>
        <v xml:space="preserve"> </v>
      </c>
      <c r="K42" s="1052"/>
      <c r="L42" s="1053"/>
      <c r="M42" s="1055" t="str">
        <f>PROPOSITION!M39</f>
        <v xml:space="preserve"> </v>
      </c>
      <c r="N42" s="1056"/>
      <c r="O42" s="1057"/>
      <c r="P42" s="1096">
        <f>MAX(0.0000001,PROPOSITION!P39)</f>
        <v>9.9999999999999995E-8</v>
      </c>
      <c r="Q42" s="1097"/>
      <c r="R42" s="1098">
        <f t="shared" si="9"/>
        <v>1500</v>
      </c>
      <c r="S42" s="1099"/>
      <c r="T42" s="285">
        <f t="shared" si="25"/>
        <v>0</v>
      </c>
      <c r="U42" s="404" t="str">
        <f>PROPOSITION!T39</f>
        <v>N</v>
      </c>
      <c r="V42" s="404" t="str">
        <f>PROPOSITION!U39</f>
        <v>N</v>
      </c>
      <c r="W42" s="485" t="str">
        <f>PROPOSITION!S39</f>
        <v>O</v>
      </c>
      <c r="X42" s="404" t="str">
        <f>PROPOSITION!R39</f>
        <v>O</v>
      </c>
      <c r="Y42" s="570">
        <f t="shared" si="3"/>
        <v>4.9999999999999982E-11</v>
      </c>
      <c r="Z42" s="601">
        <f t="shared" si="10"/>
        <v>4.9999999999999982E-2</v>
      </c>
      <c r="AA42" s="286" t="str">
        <f t="shared" si="4"/>
        <v>N</v>
      </c>
      <c r="AC42" s="287"/>
      <c r="AD42" s="288">
        <f t="shared" si="11"/>
        <v>4.9999999999999982E-11</v>
      </c>
      <c r="AE42" s="288">
        <f t="shared" si="12"/>
        <v>0</v>
      </c>
      <c r="AF42" s="288"/>
      <c r="AG42" s="248" t="s">
        <v>36</v>
      </c>
      <c r="AH42" s="298" t="e">
        <f>#REF!</f>
        <v>#REF!</v>
      </c>
      <c r="AI42" s="298"/>
      <c r="AJ42" s="298"/>
      <c r="AK42" s="298"/>
      <c r="AL42" s="298"/>
      <c r="AM42" s="298"/>
      <c r="AN42" s="279">
        <f>IF(PROPOSITION!Z39&gt;10,0.2,0)</f>
        <v>0.2</v>
      </c>
      <c r="AO42" s="248">
        <f t="shared" si="24"/>
        <v>0</v>
      </c>
      <c r="AP42" s="248">
        <f t="shared" si="13"/>
        <v>0</v>
      </c>
      <c r="AT42" s="248">
        <f t="shared" si="14"/>
        <v>1</v>
      </c>
      <c r="AU42" s="248">
        <f t="shared" si="5"/>
        <v>0</v>
      </c>
      <c r="BC42" s="291">
        <f t="shared" si="6"/>
        <v>0</v>
      </c>
      <c r="BD42" s="292"/>
      <c r="BE42" s="292"/>
      <c r="BF42" s="292"/>
      <c r="BG42" s="292"/>
      <c r="BH42" s="292"/>
      <c r="BI42" s="292"/>
      <c r="BJ42" s="292"/>
      <c r="BK42" s="292"/>
      <c r="BL42" s="292"/>
      <c r="BM42" s="292"/>
      <c r="BN42" s="292"/>
      <c r="BO42" s="292"/>
      <c r="BP42" s="292"/>
      <c r="BU42" s="251">
        <f t="shared" si="15"/>
        <v>0</v>
      </c>
      <c r="EA42" s="251">
        <f t="shared" si="16"/>
        <v>-0.5</v>
      </c>
      <c r="EB42" s="251">
        <f t="shared" si="17"/>
        <v>0.25</v>
      </c>
      <c r="EC42" s="251">
        <f t="shared" si="18"/>
        <v>-0.25</v>
      </c>
      <c r="ED42" s="251">
        <f t="shared" si="7"/>
        <v>0</v>
      </c>
      <c r="EF42" s="293">
        <f>PROPOSITION!Z39</f>
        <v>2499</v>
      </c>
      <c r="EG42" s="251">
        <f t="shared" si="19"/>
        <v>1</v>
      </c>
      <c r="EH42" s="251">
        <f t="shared" si="8"/>
        <v>0</v>
      </c>
      <c r="EK42" s="251">
        <f t="shared" si="20"/>
        <v>1</v>
      </c>
      <c r="EN42" s="251">
        <f t="shared" si="21"/>
        <v>0</v>
      </c>
      <c r="EO42" s="251">
        <f t="shared" si="22"/>
        <v>0</v>
      </c>
      <c r="EP42" s="251">
        <f t="shared" si="23"/>
        <v>0</v>
      </c>
      <c r="EQ42" s="251"/>
      <c r="ER42" s="251"/>
      <c r="ES42" s="251"/>
      <c r="ET42" s="251"/>
      <c r="EU42" s="251"/>
      <c r="EV42" s="251"/>
      <c r="EW42" s="251"/>
    </row>
    <row r="43" spans="1:153" ht="15.75" customHeight="1">
      <c r="A43" s="283">
        <f t="shared" si="0"/>
        <v>0</v>
      </c>
      <c r="B43" s="284">
        <v>20</v>
      </c>
      <c r="C43" s="403">
        <f>PROPOSITION!C40</f>
        <v>0</v>
      </c>
      <c r="D43" s="1048" t="str">
        <f>PROPOSITION!D40</f>
        <v xml:space="preserve"> </v>
      </c>
      <c r="E43" s="1049"/>
      <c r="F43" s="1050"/>
      <c r="G43" s="1051" t="str">
        <f>PROPOSITION!G40</f>
        <v xml:space="preserve"> </v>
      </c>
      <c r="H43" s="1110"/>
      <c r="I43" s="1111"/>
      <c r="J43" s="1054" t="str">
        <f>PROPOSITION!J40</f>
        <v xml:space="preserve"> </v>
      </c>
      <c r="K43" s="1052"/>
      <c r="L43" s="1053"/>
      <c r="M43" s="1055" t="str">
        <f>PROPOSITION!M40</f>
        <v xml:space="preserve"> </v>
      </c>
      <c r="N43" s="1056"/>
      <c r="O43" s="1057"/>
      <c r="P43" s="1096">
        <f>MAX(0.0000001,PROPOSITION!P40)</f>
        <v>9.9999999999999995E-8</v>
      </c>
      <c r="Q43" s="1097"/>
      <c r="R43" s="1098">
        <f t="shared" si="9"/>
        <v>1500</v>
      </c>
      <c r="S43" s="1099"/>
      <c r="T43" s="285">
        <f t="shared" si="25"/>
        <v>0</v>
      </c>
      <c r="U43" s="404" t="str">
        <f>PROPOSITION!T40</f>
        <v>N</v>
      </c>
      <c r="V43" s="404" t="str">
        <f>PROPOSITION!U40</f>
        <v>N</v>
      </c>
      <c r="W43" s="485" t="str">
        <f>PROPOSITION!S40</f>
        <v>O</v>
      </c>
      <c r="X43" s="404" t="str">
        <f>PROPOSITION!R40</f>
        <v>O</v>
      </c>
      <c r="Y43" s="570">
        <f t="shared" si="3"/>
        <v>4.9999999999999982E-11</v>
      </c>
      <c r="Z43" s="601">
        <f t="shared" si="10"/>
        <v>4.9999999999999982E-2</v>
      </c>
      <c r="AA43" s="286" t="str">
        <f t="shared" si="4"/>
        <v>N</v>
      </c>
      <c r="AC43" s="287"/>
      <c r="AD43" s="288">
        <f t="shared" si="11"/>
        <v>4.9999999999999982E-11</v>
      </c>
      <c r="AE43" s="288">
        <f t="shared" si="12"/>
        <v>0</v>
      </c>
      <c r="AF43" s="288"/>
      <c r="AG43" s="248" t="s">
        <v>173</v>
      </c>
      <c r="AH43" s="249">
        <f>Z17</f>
        <v>0</v>
      </c>
      <c r="AN43" s="279">
        <f>IF(PROPOSITION!Z40&gt;10,0.2,0)</f>
        <v>0.2</v>
      </c>
      <c r="AO43" s="248">
        <f t="shared" si="24"/>
        <v>0</v>
      </c>
      <c r="AP43" s="248">
        <f t="shared" si="13"/>
        <v>0</v>
      </c>
      <c r="AT43" s="248">
        <f t="shared" si="14"/>
        <v>1</v>
      </c>
      <c r="AU43" s="248">
        <f t="shared" si="5"/>
        <v>0</v>
      </c>
      <c r="BC43" s="291">
        <f t="shared" si="6"/>
        <v>0</v>
      </c>
      <c r="BD43" s="292"/>
      <c r="BE43" s="292"/>
      <c r="BF43" s="292"/>
      <c r="BG43" s="292"/>
      <c r="BH43" s="292"/>
      <c r="BI43" s="292"/>
      <c r="BJ43" s="292"/>
      <c r="BK43" s="292"/>
      <c r="BL43" s="292"/>
      <c r="BM43" s="292"/>
      <c r="BN43" s="292"/>
      <c r="BO43" s="292"/>
      <c r="BP43" s="292"/>
      <c r="BU43" s="251">
        <f t="shared" si="15"/>
        <v>0</v>
      </c>
      <c r="EA43" s="251">
        <f t="shared" si="16"/>
        <v>-0.5</v>
      </c>
      <c r="EB43" s="251">
        <f t="shared" si="17"/>
        <v>0.25</v>
      </c>
      <c r="EC43" s="251">
        <f t="shared" si="18"/>
        <v>-0.25</v>
      </c>
      <c r="ED43" s="251">
        <f t="shared" si="7"/>
        <v>0</v>
      </c>
      <c r="EF43" s="293">
        <f>PROPOSITION!Z40</f>
        <v>2499</v>
      </c>
      <c r="EG43" s="251">
        <f t="shared" si="19"/>
        <v>1</v>
      </c>
      <c r="EH43" s="251">
        <f t="shared" si="8"/>
        <v>0</v>
      </c>
      <c r="EK43" s="251">
        <f t="shared" si="20"/>
        <v>1</v>
      </c>
      <c r="EN43" s="251">
        <f t="shared" si="21"/>
        <v>0</v>
      </c>
      <c r="EO43" s="251">
        <f t="shared" si="22"/>
        <v>0</v>
      </c>
      <c r="EP43" s="251">
        <f t="shared" si="23"/>
        <v>0</v>
      </c>
      <c r="EQ43" s="251"/>
      <c r="ER43" s="251"/>
      <c r="ES43" s="251"/>
      <c r="ET43" s="251"/>
      <c r="EU43" s="251"/>
      <c r="EV43" s="251"/>
      <c r="EW43" s="251"/>
    </row>
    <row r="44" spans="1:153" ht="15.75" customHeight="1">
      <c r="A44" s="283">
        <f t="shared" si="0"/>
        <v>0</v>
      </c>
      <c r="B44" s="284">
        <v>21</v>
      </c>
      <c r="C44" s="403">
        <f>PROPOSITION!C41</f>
        <v>0</v>
      </c>
      <c r="D44" s="1048" t="str">
        <f>PROPOSITION!D41</f>
        <v xml:space="preserve"> </v>
      </c>
      <c r="E44" s="1049"/>
      <c r="F44" s="1050"/>
      <c r="G44" s="1051" t="str">
        <f>PROPOSITION!G41</f>
        <v xml:space="preserve"> </v>
      </c>
      <c r="H44" s="1110"/>
      <c r="I44" s="1111"/>
      <c r="J44" s="1054" t="str">
        <f>PROPOSITION!J41</f>
        <v xml:space="preserve"> </v>
      </c>
      <c r="K44" s="1052"/>
      <c r="L44" s="1053"/>
      <c r="M44" s="1055" t="str">
        <f>PROPOSITION!M41</f>
        <v xml:space="preserve"> </v>
      </c>
      <c r="N44" s="1056"/>
      <c r="O44" s="1057"/>
      <c r="P44" s="1096">
        <f>MAX(0.0000001,PROPOSITION!P41)</f>
        <v>9.9999999999999995E-8</v>
      </c>
      <c r="Q44" s="1097"/>
      <c r="R44" s="1098">
        <f t="shared" si="9"/>
        <v>1500</v>
      </c>
      <c r="S44" s="1099"/>
      <c r="T44" s="285">
        <f t="shared" si="25"/>
        <v>0</v>
      </c>
      <c r="U44" s="404" t="str">
        <f>PROPOSITION!T41</f>
        <v>N</v>
      </c>
      <c r="V44" s="404" t="str">
        <f>PROPOSITION!U41</f>
        <v>N</v>
      </c>
      <c r="W44" s="485" t="str">
        <f>PROPOSITION!S41</f>
        <v>O</v>
      </c>
      <c r="X44" s="404" t="str">
        <f>PROPOSITION!R41</f>
        <v>O</v>
      </c>
      <c r="Y44" s="570">
        <f t="shared" si="3"/>
        <v>4.9999999999999982E-11</v>
      </c>
      <c r="Z44" s="601">
        <f t="shared" si="10"/>
        <v>4.9999999999999982E-2</v>
      </c>
      <c r="AA44" s="286" t="str">
        <f t="shared" si="4"/>
        <v>N</v>
      </c>
      <c r="AC44" s="287"/>
      <c r="AD44" s="288">
        <f t="shared" si="11"/>
        <v>4.9999999999999982E-11</v>
      </c>
      <c r="AE44" s="288">
        <f t="shared" si="12"/>
        <v>0</v>
      </c>
      <c r="AF44" s="288"/>
      <c r="AG44" s="248" t="s">
        <v>176</v>
      </c>
      <c r="AH44" s="296" t="e">
        <f>#REF!+#REF!</f>
        <v>#REF!</v>
      </c>
      <c r="AI44" s="296"/>
      <c r="AJ44" s="296"/>
      <c r="AK44" s="296"/>
      <c r="AL44" s="296"/>
      <c r="AM44" s="296"/>
      <c r="AN44" s="279">
        <f>IF(PROPOSITION!Z41&gt;10,0.2,0)</f>
        <v>0.2</v>
      </c>
      <c r="AO44" s="248">
        <f t="shared" si="24"/>
        <v>0</v>
      </c>
      <c r="AP44" s="248">
        <f t="shared" si="13"/>
        <v>0</v>
      </c>
      <c r="AT44" s="248">
        <f t="shared" si="14"/>
        <v>1</v>
      </c>
      <c r="AU44" s="248">
        <f t="shared" si="5"/>
        <v>0</v>
      </c>
      <c r="BC44" s="291">
        <f t="shared" si="6"/>
        <v>0</v>
      </c>
      <c r="BD44" s="292"/>
      <c r="BE44" s="292"/>
      <c r="BF44" s="292"/>
      <c r="BG44" s="292"/>
      <c r="BH44" s="292"/>
      <c r="BI44" s="292"/>
      <c r="BJ44" s="292"/>
      <c r="BK44" s="292"/>
      <c r="BL44" s="292"/>
      <c r="BM44" s="292"/>
      <c r="BN44" s="292"/>
      <c r="BO44" s="292"/>
      <c r="BP44" s="292"/>
      <c r="BU44" s="251">
        <f t="shared" si="15"/>
        <v>0</v>
      </c>
      <c r="EA44" s="251">
        <f t="shared" si="16"/>
        <v>-0.5</v>
      </c>
      <c r="EB44" s="251">
        <f t="shared" si="17"/>
        <v>0.25</v>
      </c>
      <c r="EC44" s="251">
        <f t="shared" si="18"/>
        <v>-0.25</v>
      </c>
      <c r="ED44" s="251">
        <f t="shared" si="7"/>
        <v>0</v>
      </c>
      <c r="EF44" s="293">
        <f>PROPOSITION!Z41</f>
        <v>2499</v>
      </c>
      <c r="EG44" s="251">
        <f t="shared" si="19"/>
        <v>1</v>
      </c>
      <c r="EH44" s="251">
        <f t="shared" si="8"/>
        <v>0</v>
      </c>
      <c r="EK44" s="251">
        <f t="shared" si="20"/>
        <v>1</v>
      </c>
      <c r="EN44" s="251">
        <f t="shared" si="21"/>
        <v>0</v>
      </c>
      <c r="EO44" s="251">
        <f t="shared" si="22"/>
        <v>0</v>
      </c>
      <c r="EP44" s="251">
        <f t="shared" si="23"/>
        <v>0</v>
      </c>
      <c r="EQ44" s="251"/>
      <c r="ER44" s="251"/>
      <c r="ES44" s="251"/>
      <c r="ET44" s="251"/>
      <c r="EU44" s="251"/>
      <c r="EV44" s="251"/>
      <c r="EW44" s="251"/>
    </row>
    <row r="45" spans="1:153" ht="15.75" customHeight="1">
      <c r="A45" s="283">
        <f t="shared" si="0"/>
        <v>0</v>
      </c>
      <c r="B45" s="284">
        <v>22</v>
      </c>
      <c r="C45" s="403">
        <f>PROPOSITION!C42</f>
        <v>0</v>
      </c>
      <c r="D45" s="1048" t="str">
        <f>PROPOSITION!D42</f>
        <v xml:space="preserve"> </v>
      </c>
      <c r="E45" s="1049"/>
      <c r="F45" s="1050"/>
      <c r="G45" s="1051" t="str">
        <f>PROPOSITION!G42</f>
        <v xml:space="preserve"> </v>
      </c>
      <c r="H45" s="1110"/>
      <c r="I45" s="1111"/>
      <c r="J45" s="1054" t="str">
        <f>PROPOSITION!J42</f>
        <v xml:space="preserve"> </v>
      </c>
      <c r="K45" s="1052"/>
      <c r="L45" s="1053"/>
      <c r="M45" s="1055" t="str">
        <f>PROPOSITION!M42</f>
        <v xml:space="preserve"> </v>
      </c>
      <c r="N45" s="1056"/>
      <c r="O45" s="1057"/>
      <c r="P45" s="1096">
        <f>MAX(0.0000001,PROPOSITION!P42)</f>
        <v>9.9999999999999995E-8</v>
      </c>
      <c r="Q45" s="1097"/>
      <c r="R45" s="1098">
        <f t="shared" si="9"/>
        <v>1500</v>
      </c>
      <c r="S45" s="1099"/>
      <c r="T45" s="285">
        <f t="shared" si="25"/>
        <v>0</v>
      </c>
      <c r="U45" s="404" t="str">
        <f>PROPOSITION!T42</f>
        <v>N</v>
      </c>
      <c r="V45" s="404" t="str">
        <f>PROPOSITION!U42</f>
        <v>N</v>
      </c>
      <c r="W45" s="485" t="str">
        <f>PROPOSITION!S42</f>
        <v>O</v>
      </c>
      <c r="X45" s="404" t="str">
        <f>PROPOSITION!R42</f>
        <v>O</v>
      </c>
      <c r="Y45" s="570">
        <f t="shared" si="3"/>
        <v>4.9999999999999982E-11</v>
      </c>
      <c r="Z45" s="601">
        <f t="shared" si="10"/>
        <v>4.9999999999999982E-2</v>
      </c>
      <c r="AA45" s="286" t="str">
        <f t="shared" si="4"/>
        <v>N</v>
      </c>
      <c r="AC45" s="287"/>
      <c r="AD45" s="288">
        <f t="shared" si="11"/>
        <v>4.9999999999999982E-11</v>
      </c>
      <c r="AE45" s="288">
        <f t="shared" si="12"/>
        <v>0</v>
      </c>
      <c r="AF45" s="288"/>
      <c r="AG45" s="248" t="s">
        <v>177</v>
      </c>
      <c r="AH45" s="296" t="e">
        <f>#REF!+#REF!</f>
        <v>#REF!</v>
      </c>
      <c r="AI45" s="296"/>
      <c r="AJ45" s="296"/>
      <c r="AK45" s="296"/>
      <c r="AL45" s="296"/>
      <c r="AM45" s="296"/>
      <c r="AN45" s="279">
        <f>IF(PROPOSITION!Z42&gt;10,0.2,0)</f>
        <v>0.2</v>
      </c>
      <c r="AO45" s="248">
        <f t="shared" si="24"/>
        <v>0</v>
      </c>
      <c r="AP45" s="248">
        <f t="shared" si="13"/>
        <v>0</v>
      </c>
      <c r="AT45" s="248">
        <f t="shared" si="14"/>
        <v>1</v>
      </c>
      <c r="AU45" s="248">
        <f t="shared" si="5"/>
        <v>0</v>
      </c>
      <c r="BC45" s="291">
        <f t="shared" si="6"/>
        <v>0</v>
      </c>
      <c r="BD45" s="292"/>
      <c r="BE45" s="292"/>
      <c r="BF45" s="292"/>
      <c r="BG45" s="292"/>
      <c r="BH45" s="292"/>
      <c r="BI45" s="292"/>
      <c r="BJ45" s="292"/>
      <c r="BK45" s="292"/>
      <c r="BL45" s="292"/>
      <c r="BM45" s="292"/>
      <c r="BN45" s="292"/>
      <c r="BO45" s="292"/>
      <c r="BP45" s="292"/>
      <c r="BU45" s="251">
        <f t="shared" si="15"/>
        <v>0</v>
      </c>
      <c r="EA45" s="251">
        <f t="shared" si="16"/>
        <v>-0.5</v>
      </c>
      <c r="EB45" s="251">
        <f t="shared" si="17"/>
        <v>0.25</v>
      </c>
      <c r="EC45" s="251">
        <f t="shared" si="18"/>
        <v>-0.25</v>
      </c>
      <c r="ED45" s="251">
        <f t="shared" si="7"/>
        <v>0</v>
      </c>
      <c r="EF45" s="293">
        <f>PROPOSITION!Z42</f>
        <v>2499</v>
      </c>
      <c r="EG45" s="251">
        <f t="shared" si="19"/>
        <v>1</v>
      </c>
      <c r="EH45" s="251">
        <f t="shared" si="8"/>
        <v>0</v>
      </c>
      <c r="EK45" s="251">
        <f t="shared" si="20"/>
        <v>1</v>
      </c>
      <c r="EN45" s="251">
        <f t="shared" si="21"/>
        <v>0</v>
      </c>
      <c r="EO45" s="251">
        <f t="shared" si="22"/>
        <v>0</v>
      </c>
      <c r="EP45" s="251">
        <f t="shared" si="23"/>
        <v>0</v>
      </c>
      <c r="EQ45" s="251"/>
      <c r="ER45" s="251"/>
      <c r="ES45" s="251"/>
      <c r="ET45" s="251"/>
      <c r="EU45" s="251"/>
      <c r="EV45" s="251"/>
      <c r="EW45" s="251"/>
    </row>
    <row r="46" spans="1:153" ht="15.75" customHeight="1">
      <c r="A46" s="283">
        <f t="shared" si="0"/>
        <v>0</v>
      </c>
      <c r="B46" s="284">
        <v>23</v>
      </c>
      <c r="C46" s="403">
        <f>PROPOSITION!C43</f>
        <v>0</v>
      </c>
      <c r="D46" s="1048" t="str">
        <f>PROPOSITION!D43</f>
        <v xml:space="preserve"> </v>
      </c>
      <c r="E46" s="1049"/>
      <c r="F46" s="1050"/>
      <c r="G46" s="1051" t="str">
        <f>PROPOSITION!G43</f>
        <v xml:space="preserve"> </v>
      </c>
      <c r="H46" s="1110"/>
      <c r="I46" s="1111"/>
      <c r="J46" s="1054" t="str">
        <f>PROPOSITION!J43</f>
        <v xml:space="preserve"> </v>
      </c>
      <c r="K46" s="1052"/>
      <c r="L46" s="1053"/>
      <c r="M46" s="1055" t="str">
        <f>PROPOSITION!M43</f>
        <v xml:space="preserve"> </v>
      </c>
      <c r="N46" s="1056"/>
      <c r="O46" s="1057"/>
      <c r="P46" s="1096">
        <f>MAX(0.0000001,PROPOSITION!P43)</f>
        <v>9.9999999999999995E-8</v>
      </c>
      <c r="Q46" s="1097"/>
      <c r="R46" s="1098">
        <f t="shared" si="9"/>
        <v>1500</v>
      </c>
      <c r="S46" s="1099"/>
      <c r="T46" s="285">
        <f t="shared" si="25"/>
        <v>0</v>
      </c>
      <c r="U46" s="404" t="str">
        <f>PROPOSITION!T43</f>
        <v>N</v>
      </c>
      <c r="V46" s="404" t="str">
        <f>PROPOSITION!U43</f>
        <v>N</v>
      </c>
      <c r="W46" s="485" t="str">
        <f>PROPOSITION!S43</f>
        <v>O</v>
      </c>
      <c r="X46" s="404" t="str">
        <f>PROPOSITION!R43</f>
        <v>O</v>
      </c>
      <c r="Y46" s="570">
        <f t="shared" si="3"/>
        <v>4.9999999999999982E-11</v>
      </c>
      <c r="Z46" s="601">
        <f t="shared" si="10"/>
        <v>4.9999999999999982E-2</v>
      </c>
      <c r="AA46" s="286" t="str">
        <f t="shared" si="4"/>
        <v>N</v>
      </c>
      <c r="AC46" s="287"/>
      <c r="AD46" s="288">
        <f t="shared" si="11"/>
        <v>4.9999999999999982E-11</v>
      </c>
      <c r="AE46" s="288">
        <f t="shared" si="12"/>
        <v>0</v>
      </c>
      <c r="AF46" s="288"/>
      <c r="AG46" s="248" t="s">
        <v>178</v>
      </c>
      <c r="AH46" s="249" t="e">
        <f>(Y50+#REF!+#REF!)*L2/100</f>
        <v>#REF!</v>
      </c>
      <c r="AN46" s="279">
        <f>IF(PROPOSITION!Z43&gt;10,0.2,0)</f>
        <v>0.2</v>
      </c>
      <c r="AO46" s="248">
        <f t="shared" si="24"/>
        <v>0</v>
      </c>
      <c r="AP46" s="248">
        <f t="shared" si="13"/>
        <v>0</v>
      </c>
      <c r="AT46" s="248">
        <f t="shared" si="14"/>
        <v>1</v>
      </c>
      <c r="AU46" s="248">
        <f t="shared" si="5"/>
        <v>0</v>
      </c>
      <c r="BC46" s="291">
        <f t="shared" si="6"/>
        <v>0</v>
      </c>
      <c r="BD46" s="292"/>
      <c r="BE46" s="292"/>
      <c r="BF46" s="292"/>
      <c r="BG46" s="292"/>
      <c r="BH46" s="292"/>
      <c r="BI46" s="292"/>
      <c r="BJ46" s="292"/>
      <c r="BK46" s="292"/>
      <c r="BL46" s="292"/>
      <c r="BM46" s="292"/>
      <c r="BN46" s="292"/>
      <c r="BO46" s="292"/>
      <c r="BP46" s="292"/>
      <c r="BU46" s="251">
        <f t="shared" si="15"/>
        <v>0</v>
      </c>
      <c r="EA46" s="251">
        <f t="shared" si="16"/>
        <v>-0.5</v>
      </c>
      <c r="EB46" s="251">
        <f t="shared" si="17"/>
        <v>0.25</v>
      </c>
      <c r="EC46" s="251">
        <f t="shared" si="18"/>
        <v>-0.25</v>
      </c>
      <c r="ED46" s="251">
        <f t="shared" si="7"/>
        <v>0</v>
      </c>
      <c r="EF46" s="293">
        <f>PROPOSITION!Z43</f>
        <v>2499</v>
      </c>
      <c r="EG46" s="251">
        <f t="shared" si="19"/>
        <v>1</v>
      </c>
      <c r="EH46" s="251">
        <f t="shared" si="8"/>
        <v>0</v>
      </c>
      <c r="EK46" s="251">
        <f t="shared" si="20"/>
        <v>1</v>
      </c>
      <c r="EN46" s="251">
        <f t="shared" si="21"/>
        <v>0</v>
      </c>
      <c r="EO46" s="251">
        <f t="shared" si="22"/>
        <v>0</v>
      </c>
      <c r="EP46" s="251">
        <f t="shared" si="23"/>
        <v>0</v>
      </c>
      <c r="EQ46" s="251"/>
      <c r="ER46" s="251"/>
      <c r="ES46" s="251"/>
      <c r="ET46" s="251"/>
      <c r="EU46" s="251"/>
      <c r="EV46" s="251"/>
      <c r="EW46" s="251"/>
    </row>
    <row r="47" spans="1:153" ht="15.75" customHeight="1">
      <c r="A47" s="283">
        <f t="shared" si="0"/>
        <v>0</v>
      </c>
      <c r="B47" s="284">
        <v>24</v>
      </c>
      <c r="C47" s="403">
        <f>PROPOSITION!C44</f>
        <v>0</v>
      </c>
      <c r="D47" s="1048" t="str">
        <f>PROPOSITION!D44</f>
        <v xml:space="preserve"> </v>
      </c>
      <c r="E47" s="1049"/>
      <c r="F47" s="1050"/>
      <c r="G47" s="1051" t="str">
        <f>PROPOSITION!G44</f>
        <v xml:space="preserve"> </v>
      </c>
      <c r="H47" s="1110"/>
      <c r="I47" s="1111"/>
      <c r="J47" s="1054" t="str">
        <f>PROPOSITION!J44</f>
        <v xml:space="preserve"> </v>
      </c>
      <c r="K47" s="1052"/>
      <c r="L47" s="1053"/>
      <c r="M47" s="1055" t="str">
        <f>PROPOSITION!M44</f>
        <v xml:space="preserve"> </v>
      </c>
      <c r="N47" s="1056"/>
      <c r="O47" s="1057"/>
      <c r="P47" s="1096">
        <f>MAX(0.0000001,PROPOSITION!P44)</f>
        <v>9.9999999999999995E-8</v>
      </c>
      <c r="Q47" s="1097"/>
      <c r="R47" s="1098">
        <f t="shared" si="9"/>
        <v>1500</v>
      </c>
      <c r="S47" s="1099"/>
      <c r="T47" s="285">
        <f t="shared" si="25"/>
        <v>0</v>
      </c>
      <c r="U47" s="404" t="str">
        <f>PROPOSITION!T44</f>
        <v>N</v>
      </c>
      <c r="V47" s="404" t="str">
        <f>PROPOSITION!U44</f>
        <v>N</v>
      </c>
      <c r="W47" s="485" t="str">
        <f>PROPOSITION!S44</f>
        <v>O</v>
      </c>
      <c r="X47" s="404" t="str">
        <f>PROPOSITION!R44</f>
        <v>O</v>
      </c>
      <c r="Y47" s="570">
        <f t="shared" si="3"/>
        <v>4.9999999999999982E-11</v>
      </c>
      <c r="Z47" s="601">
        <f t="shared" si="10"/>
        <v>4.9999999999999982E-2</v>
      </c>
      <c r="AA47" s="286" t="str">
        <f t="shared" si="4"/>
        <v>N</v>
      </c>
      <c r="AC47" s="287"/>
      <c r="AD47" s="288">
        <f t="shared" si="11"/>
        <v>4.9999999999999982E-11</v>
      </c>
      <c r="AE47" s="288">
        <f t="shared" si="12"/>
        <v>0</v>
      </c>
      <c r="AF47" s="288"/>
      <c r="AG47" s="248" t="s">
        <v>179</v>
      </c>
      <c r="AH47" s="249" t="e">
        <f>(#REF!*0.125+#REF!*0.075)</f>
        <v>#REF!</v>
      </c>
      <c r="AN47" s="279">
        <f>IF(PROPOSITION!Z44&gt;10,0.2,0)</f>
        <v>0.2</v>
      </c>
      <c r="AO47" s="248">
        <f t="shared" si="24"/>
        <v>0</v>
      </c>
      <c r="AP47" s="248">
        <f t="shared" si="13"/>
        <v>0</v>
      </c>
      <c r="AT47" s="248">
        <f t="shared" si="14"/>
        <v>1</v>
      </c>
      <c r="AU47" s="248">
        <f t="shared" si="5"/>
        <v>0</v>
      </c>
      <c r="BC47" s="291">
        <f t="shared" si="6"/>
        <v>0</v>
      </c>
      <c r="BD47" s="292"/>
      <c r="BE47" s="292"/>
      <c r="BF47" s="292"/>
      <c r="BG47" s="292"/>
      <c r="BH47" s="292"/>
      <c r="BI47" s="292"/>
      <c r="BJ47" s="292"/>
      <c r="BK47" s="292"/>
      <c r="BL47" s="292"/>
      <c r="BM47" s="292"/>
      <c r="BN47" s="292"/>
      <c r="BO47" s="292"/>
      <c r="BP47" s="292"/>
      <c r="BU47" s="251">
        <f t="shared" si="15"/>
        <v>0</v>
      </c>
      <c r="EA47" s="251">
        <f t="shared" si="16"/>
        <v>-0.5</v>
      </c>
      <c r="EB47" s="251">
        <f t="shared" si="17"/>
        <v>0.25</v>
      </c>
      <c r="EC47" s="251">
        <f t="shared" si="18"/>
        <v>-0.25</v>
      </c>
      <c r="ED47" s="251">
        <f t="shared" si="7"/>
        <v>0</v>
      </c>
      <c r="EF47" s="293">
        <f>PROPOSITION!Z44</f>
        <v>2499</v>
      </c>
      <c r="EG47" s="251">
        <f t="shared" si="19"/>
        <v>1</v>
      </c>
      <c r="EH47" s="251">
        <f t="shared" si="8"/>
        <v>0</v>
      </c>
      <c r="EK47" s="251">
        <f t="shared" si="20"/>
        <v>1</v>
      </c>
      <c r="EN47" s="251">
        <f t="shared" si="21"/>
        <v>0</v>
      </c>
      <c r="EO47" s="251">
        <f t="shared" si="22"/>
        <v>0</v>
      </c>
      <c r="EP47" s="251">
        <f t="shared" si="23"/>
        <v>0</v>
      </c>
      <c r="EQ47" s="251"/>
      <c r="ER47" s="251"/>
      <c r="ES47" s="251"/>
      <c r="ET47" s="251"/>
      <c r="EU47" s="251"/>
      <c r="EV47" s="251"/>
      <c r="EW47" s="251"/>
    </row>
    <row r="48" spans="1:153" ht="15.75" customHeight="1">
      <c r="A48" s="283">
        <f t="shared" si="0"/>
        <v>0</v>
      </c>
      <c r="B48" s="284">
        <v>25</v>
      </c>
      <c r="C48" s="403">
        <f>PROPOSITION!C45</f>
        <v>0</v>
      </c>
      <c r="D48" s="1048" t="str">
        <f>PROPOSITION!D45</f>
        <v xml:space="preserve"> </v>
      </c>
      <c r="E48" s="1049"/>
      <c r="F48" s="1050"/>
      <c r="G48" s="1051" t="str">
        <f>PROPOSITION!G45</f>
        <v xml:space="preserve"> </v>
      </c>
      <c r="H48" s="1110"/>
      <c r="I48" s="1111"/>
      <c r="J48" s="1054" t="str">
        <f>PROPOSITION!J45</f>
        <v xml:space="preserve"> </v>
      </c>
      <c r="K48" s="1052"/>
      <c r="L48" s="1053"/>
      <c r="M48" s="1055" t="str">
        <f>PROPOSITION!M45</f>
        <v xml:space="preserve"> </v>
      </c>
      <c r="N48" s="1056"/>
      <c r="O48" s="1057"/>
      <c r="P48" s="1096">
        <f>MAX(0.0000001,PROPOSITION!P45)</f>
        <v>9.9999999999999995E-8</v>
      </c>
      <c r="Q48" s="1097"/>
      <c r="R48" s="1098">
        <f t="shared" si="9"/>
        <v>1500</v>
      </c>
      <c r="S48" s="1099"/>
      <c r="T48" s="285">
        <f t="shared" si="25"/>
        <v>0</v>
      </c>
      <c r="U48" s="404" t="str">
        <f>PROPOSITION!T45</f>
        <v>N</v>
      </c>
      <c r="V48" s="404" t="str">
        <f>PROPOSITION!U45</f>
        <v>N</v>
      </c>
      <c r="W48" s="485" t="str">
        <f>PROPOSITION!S45</f>
        <v>O</v>
      </c>
      <c r="X48" s="404" t="str">
        <f>PROPOSITION!R45</f>
        <v>O</v>
      </c>
      <c r="Y48" s="570">
        <f t="shared" si="3"/>
        <v>4.9999999999999982E-11</v>
      </c>
      <c r="Z48" s="601">
        <f t="shared" si="10"/>
        <v>4.9999999999999982E-2</v>
      </c>
      <c r="AA48" s="286" t="str">
        <f t="shared" si="4"/>
        <v>N</v>
      </c>
      <c r="AC48" s="287"/>
      <c r="AD48" s="288">
        <f t="shared" si="11"/>
        <v>4.9999999999999982E-11</v>
      </c>
      <c r="AE48" s="288">
        <f t="shared" si="12"/>
        <v>0</v>
      </c>
      <c r="AF48" s="288"/>
      <c r="AN48" s="279">
        <f>IF(PROPOSITION!Z45&gt;10,0.2,0)</f>
        <v>0.2</v>
      </c>
      <c r="AO48" s="248">
        <f t="shared" si="24"/>
        <v>0</v>
      </c>
      <c r="AT48" s="248">
        <f t="shared" si="14"/>
        <v>1</v>
      </c>
      <c r="AU48" s="248">
        <f t="shared" si="5"/>
        <v>0</v>
      </c>
      <c r="BC48" s="291">
        <f t="shared" si="6"/>
        <v>0</v>
      </c>
      <c r="BD48" s="292"/>
      <c r="BE48" s="292"/>
      <c r="BF48" s="292"/>
      <c r="BG48" s="292"/>
      <c r="BH48" s="292"/>
      <c r="BI48" s="292"/>
      <c r="BJ48" s="292"/>
      <c r="BK48" s="292"/>
      <c r="BL48" s="292"/>
      <c r="BM48" s="292"/>
      <c r="BN48" s="292"/>
      <c r="BO48" s="292"/>
      <c r="BP48" s="292"/>
      <c r="BU48" s="251">
        <f t="shared" si="15"/>
        <v>0</v>
      </c>
      <c r="EA48" s="251">
        <f t="shared" si="16"/>
        <v>-0.5</v>
      </c>
      <c r="EB48" s="251">
        <f t="shared" si="17"/>
        <v>0.25</v>
      </c>
      <c r="EC48" s="251">
        <f t="shared" si="18"/>
        <v>-0.25</v>
      </c>
      <c r="ED48" s="251">
        <f t="shared" si="7"/>
        <v>0</v>
      </c>
      <c r="EF48" s="293">
        <f>PROPOSITION!Z45</f>
        <v>2499</v>
      </c>
      <c r="EG48" s="251">
        <f t="shared" si="19"/>
        <v>1</v>
      </c>
      <c r="EH48" s="251">
        <f t="shared" si="8"/>
        <v>0</v>
      </c>
      <c r="EK48" s="251">
        <f t="shared" si="20"/>
        <v>1</v>
      </c>
      <c r="EN48" s="251">
        <f t="shared" si="21"/>
        <v>0</v>
      </c>
      <c r="EO48" s="251">
        <f t="shared" si="22"/>
        <v>0</v>
      </c>
      <c r="EP48" s="251">
        <f t="shared" si="23"/>
        <v>0</v>
      </c>
      <c r="EQ48" s="251"/>
      <c r="ER48" s="251"/>
      <c r="ES48" s="251"/>
      <c r="ET48" s="251"/>
      <c r="EU48" s="251"/>
      <c r="EV48" s="251"/>
      <c r="EW48" s="251"/>
    </row>
    <row r="49" spans="1:153" s="256" customFormat="1" ht="17.25" customHeight="1" thickBot="1">
      <c r="A49" s="283">
        <f>SUM(A24:A48)</f>
        <v>0</v>
      </c>
      <c r="B49" s="281"/>
      <c r="D49" s="299"/>
      <c r="E49" s="299"/>
      <c r="F49" s="299"/>
      <c r="G49" s="299"/>
      <c r="H49" s="299"/>
      <c r="I49" s="299"/>
      <c r="J49" s="299"/>
      <c r="K49" s="299"/>
      <c r="L49" s="299"/>
      <c r="M49" s="299"/>
      <c r="N49" s="299"/>
      <c r="O49" s="299"/>
      <c r="P49" s="299"/>
      <c r="Q49" s="299"/>
      <c r="R49" s="299"/>
      <c r="S49" s="299"/>
      <c r="U49" s="299"/>
      <c r="W49" s="299"/>
      <c r="Y49" s="299"/>
      <c r="Z49" s="299"/>
      <c r="AA49" s="300">
        <f>SUM(AA24:AA48)</f>
        <v>0</v>
      </c>
      <c r="AB49" s="629"/>
      <c r="AC49" s="247"/>
      <c r="AD49" s="287">
        <f>SUM(AP24:AP47)</f>
        <v>0</v>
      </c>
      <c r="AE49" s="287"/>
      <c r="AF49" s="287"/>
      <c r="AG49" s="248"/>
      <c r="AH49" s="249"/>
      <c r="AI49" s="249"/>
      <c r="AJ49" s="249"/>
      <c r="AK49" s="249"/>
      <c r="AL49" s="249"/>
      <c r="AM49" s="249"/>
      <c r="AN49" s="279">
        <f>IF(PROPOSITION!Z46&gt;3000,0.2,0)</f>
        <v>0</v>
      </c>
      <c r="AO49" s="248">
        <f>SUM(AO24:AO48)</f>
        <v>0</v>
      </c>
      <c r="AP49" s="248"/>
      <c r="AQ49" s="248"/>
      <c r="AR49" s="248"/>
      <c r="AS49" s="248"/>
      <c r="AT49" s="248"/>
      <c r="AU49" s="248"/>
      <c r="AV49" s="248"/>
      <c r="AW49" s="248"/>
      <c r="AX49" s="248"/>
      <c r="AY49" s="248"/>
      <c r="AZ49" s="248"/>
      <c r="BA49" s="248"/>
      <c r="BB49" s="248"/>
      <c r="BC49" s="248"/>
      <c r="BD49" s="250"/>
      <c r="BE49" s="250"/>
      <c r="BF49" s="250"/>
      <c r="BG49" s="250"/>
      <c r="BH49" s="250"/>
      <c r="BI49" s="250"/>
      <c r="BJ49" s="250"/>
      <c r="BK49" s="250"/>
      <c r="BL49" s="250"/>
      <c r="BM49" s="250"/>
      <c r="BN49" s="250"/>
      <c r="BO49" s="250"/>
      <c r="BP49" s="250"/>
      <c r="BQ49" s="250"/>
      <c r="BR49" s="250"/>
      <c r="BS49" s="250"/>
      <c r="BT49" s="250"/>
      <c r="BU49" s="251">
        <f t="shared" si="15"/>
        <v>0</v>
      </c>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f>IF(C49=2005,-5,0)</f>
        <v>0</v>
      </c>
      <c r="EP49" s="251"/>
      <c r="EQ49" s="251"/>
      <c r="ER49" s="251"/>
      <c r="ES49" s="251"/>
      <c r="ET49" s="251"/>
      <c r="EU49" s="251"/>
      <c r="EV49" s="251"/>
      <c r="EW49" s="251"/>
    </row>
    <row r="50" spans="1:153" s="256" customFormat="1" ht="15.75" customHeight="1" thickBot="1">
      <c r="A50" s="283"/>
      <c r="C50" s="1033" t="s">
        <v>449</v>
      </c>
      <c r="D50" s="1034"/>
      <c r="E50" s="1034"/>
      <c r="F50" s="1034"/>
      <c r="G50" s="1034"/>
      <c r="H50" s="1034"/>
      <c r="I50" s="1034"/>
      <c r="J50" s="1035">
        <f>ROUND(Y50*100/P50,2)</f>
        <v>0.05</v>
      </c>
      <c r="K50" s="1036"/>
      <c r="L50" s="1037"/>
      <c r="M50" s="1034" t="s">
        <v>37</v>
      </c>
      <c r="N50" s="1034"/>
      <c r="O50" s="1038"/>
      <c r="P50" s="1039">
        <f>SUM(P24:Q49)</f>
        <v>2.4999999999999985E-6</v>
      </c>
      <c r="Q50" s="1040"/>
      <c r="R50" s="1041" t="s">
        <v>450</v>
      </c>
      <c r="S50" s="1034"/>
      <c r="T50" s="1034"/>
      <c r="U50" s="1034"/>
      <c r="V50" s="1034"/>
      <c r="W50" s="1034"/>
      <c r="Y50" s="1122">
        <f>SUM(Y24:Y48)</f>
        <v>1.2500000000000002E-9</v>
      </c>
      <c r="Z50" s="1123"/>
      <c r="AB50" s="629"/>
      <c r="AC50" s="247"/>
      <c r="AD50" s="301">
        <f>SUM(AD24:AD48)</f>
        <v>1.2500000000000002E-9</v>
      </c>
      <c r="AE50" s="301">
        <f>SUM(AE24:AE49)</f>
        <v>0</v>
      </c>
      <c r="AF50" s="301"/>
      <c r="AG50" s="248"/>
      <c r="AH50" s="249"/>
      <c r="AI50" s="249"/>
      <c r="AJ50" s="249"/>
      <c r="AK50" s="249"/>
      <c r="AL50" s="249"/>
      <c r="AM50" s="249"/>
      <c r="AN50" s="248"/>
      <c r="AO50" s="248"/>
      <c r="AP50" s="248"/>
      <c r="AQ50" s="248"/>
      <c r="AR50" s="248"/>
      <c r="AS50" s="248"/>
      <c r="AT50" s="248"/>
      <c r="AU50" s="248"/>
      <c r="AV50" s="248"/>
      <c r="AW50" s="248"/>
      <c r="AX50" s="248"/>
      <c r="AY50" s="248"/>
      <c r="AZ50" s="248"/>
      <c r="BA50" s="248"/>
      <c r="BB50" s="248"/>
      <c r="BC50" s="291">
        <f>SUM(BC24:BC49)</f>
        <v>0</v>
      </c>
      <c r="BD50" s="292"/>
      <c r="BE50" s="292"/>
      <c r="BF50" s="292"/>
      <c r="BG50" s="292"/>
      <c r="BH50" s="292"/>
      <c r="BI50" s="292"/>
      <c r="BJ50" s="292"/>
      <c r="BK50" s="292"/>
      <c r="BL50" s="292"/>
      <c r="BM50" s="292"/>
      <c r="BN50" s="292"/>
      <c r="BO50" s="292"/>
      <c r="BP50" s="292"/>
      <c r="BQ50" s="250"/>
      <c r="BR50" s="250"/>
      <c r="BS50" s="250"/>
      <c r="BT50" s="250"/>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row>
    <row r="51" spans="1:153">
      <c r="Y51" s="1103" t="str">
        <f xml:space="preserve">  "Limite catastrophique 1.500.000$"</f>
        <v>Limite catastrophique 1.500.000$</v>
      </c>
      <c r="Z51" s="1104"/>
      <c r="BU51" s="251">
        <f>SUM(BU24:BU50)</f>
        <v>0</v>
      </c>
      <c r="EO51" s="251"/>
      <c r="EP51" s="251"/>
      <c r="EQ51" s="251"/>
      <c r="ER51" s="251"/>
      <c r="ES51" s="251"/>
      <c r="ET51" s="251"/>
      <c r="EU51" s="251"/>
      <c r="EV51" s="251"/>
      <c r="EW51" s="251"/>
    </row>
    <row r="52" spans="1:153" ht="15.75" customHeight="1" thickBot="1">
      <c r="B52" s="1136" t="s">
        <v>648</v>
      </c>
      <c r="C52" s="1137"/>
      <c r="D52" s="1137"/>
      <c r="E52" s="1137"/>
      <c r="F52" s="1137"/>
      <c r="G52" s="1137"/>
      <c r="H52" s="1137"/>
      <c r="I52" s="1137"/>
      <c r="J52" s="1137"/>
      <c r="K52" s="1137"/>
      <c r="L52" s="1137"/>
      <c r="M52" s="1137"/>
      <c r="N52" s="1137"/>
      <c r="O52" s="1137"/>
      <c r="P52" s="1137"/>
      <c r="Q52" s="1138"/>
      <c r="R52" s="943">
        <f>AC260</f>
        <v>0</v>
      </c>
      <c r="S52" s="943"/>
      <c r="U52" s="1109" t="e">
        <f>Y50/BC50</f>
        <v>#DIV/0!</v>
      </c>
      <c r="V52" s="1109"/>
      <c r="W52" s="1109"/>
      <c r="Y52" s="1105"/>
      <c r="Z52" s="1106"/>
      <c r="EO52" s="251"/>
      <c r="EP52" s="251"/>
      <c r="EQ52" s="251"/>
      <c r="ER52" s="251"/>
      <c r="ES52" s="251"/>
      <c r="ET52" s="251"/>
      <c r="EU52" s="251"/>
      <c r="EV52" s="251"/>
      <c r="EW52" s="251"/>
    </row>
    <row r="53" spans="1:153" s="628" customFormat="1" ht="15.75" customHeight="1">
      <c r="A53" s="244"/>
      <c r="B53" s="1107" t="s">
        <v>647</v>
      </c>
      <c r="C53" s="1108"/>
      <c r="D53" s="1108"/>
      <c r="E53" s="1108"/>
      <c r="F53" s="1108"/>
      <c r="G53" s="1108"/>
      <c r="H53" s="1108"/>
      <c r="I53" s="1108"/>
      <c r="J53" s="1108"/>
      <c r="K53" s="1108"/>
      <c r="L53" s="1108"/>
      <c r="M53" s="1108"/>
      <c r="N53" s="1108"/>
      <c r="O53" s="1108"/>
      <c r="P53" s="1112">
        <f>AC260</f>
        <v>0</v>
      </c>
      <c r="Q53" s="1113"/>
      <c r="R53" s="948" t="s">
        <v>2</v>
      </c>
      <c r="S53" s="948"/>
      <c r="U53" s="689"/>
      <c r="V53" s="689"/>
      <c r="W53" s="689"/>
      <c r="Y53" s="690"/>
      <c r="Z53" s="690"/>
      <c r="AB53" s="629"/>
      <c r="AC53" s="630"/>
      <c r="AD53" s="630"/>
      <c r="AE53" s="630"/>
      <c r="AF53" s="630"/>
      <c r="AG53" s="631"/>
      <c r="AH53" s="632"/>
      <c r="AI53" s="632"/>
      <c r="AJ53" s="632"/>
      <c r="AK53" s="632"/>
      <c r="AL53" s="632"/>
      <c r="AM53" s="632"/>
      <c r="AN53" s="631"/>
      <c r="AO53" s="631"/>
      <c r="AP53" s="631"/>
      <c r="AQ53" s="631"/>
      <c r="AR53" s="631"/>
      <c r="AS53" s="631"/>
      <c r="AT53" s="631"/>
      <c r="AU53" s="631"/>
      <c r="AV53" s="631"/>
      <c r="AW53" s="631"/>
      <c r="AX53" s="631"/>
      <c r="AY53" s="631"/>
      <c r="AZ53" s="631"/>
      <c r="BA53" s="631"/>
      <c r="BB53" s="631"/>
      <c r="BC53" s="631"/>
      <c r="BD53" s="633"/>
      <c r="BE53" s="633"/>
      <c r="BF53" s="633"/>
      <c r="BG53" s="633"/>
      <c r="BH53" s="633"/>
      <c r="BI53" s="633"/>
      <c r="BJ53" s="633"/>
      <c r="BK53" s="633"/>
      <c r="BL53" s="633"/>
      <c r="BM53" s="633"/>
      <c r="BN53" s="633"/>
      <c r="BO53" s="633"/>
      <c r="BP53" s="633"/>
      <c r="BQ53" s="633"/>
      <c r="BR53" s="633"/>
      <c r="BS53" s="633"/>
      <c r="BT53" s="633"/>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row>
    <row r="54" spans="1:153" s="261" customFormat="1" ht="17.25" customHeight="1" thickBot="1">
      <c r="A54" s="303"/>
      <c r="AB54" s="638"/>
      <c r="AC54" s="247"/>
      <c r="AD54" s="247"/>
      <c r="AE54" s="247"/>
      <c r="AF54" s="247"/>
      <c r="AG54" s="248"/>
      <c r="AH54" s="249"/>
      <c r="AI54" s="249"/>
      <c r="AJ54" s="249"/>
      <c r="AK54" s="249"/>
      <c r="AL54" s="249"/>
      <c r="AM54" s="249"/>
      <c r="AN54" s="248"/>
      <c r="AO54" s="248"/>
      <c r="AP54" s="248"/>
      <c r="AQ54" s="248"/>
      <c r="AR54" s="248"/>
      <c r="AS54" s="248"/>
      <c r="AT54" s="248"/>
      <c r="AU54" s="248"/>
      <c r="AV54" s="248"/>
      <c r="AW54" s="248"/>
      <c r="AX54" s="248"/>
      <c r="AY54" s="248"/>
      <c r="AZ54" s="248"/>
      <c r="BA54" s="248"/>
      <c r="BB54" s="248"/>
      <c r="BC54" s="248"/>
      <c r="BD54" s="250"/>
      <c r="BE54" s="250"/>
      <c r="BF54" s="250"/>
      <c r="BG54" s="250"/>
      <c r="BH54" s="250"/>
      <c r="BI54" s="250"/>
      <c r="BJ54" s="250"/>
      <c r="BK54" s="250"/>
      <c r="BL54" s="250"/>
      <c r="BM54" s="250"/>
      <c r="BN54" s="250"/>
      <c r="BO54" s="250"/>
      <c r="BP54" s="250"/>
      <c r="BQ54" s="250"/>
      <c r="BR54" s="250"/>
      <c r="BS54" s="250"/>
      <c r="BT54" s="250"/>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row>
    <row r="55" spans="1:153" ht="17.25" hidden="1" customHeight="1">
      <c r="EO55" s="251"/>
      <c r="EP55" s="251"/>
      <c r="EQ55" s="251"/>
      <c r="ER55" s="251"/>
      <c r="ES55" s="251"/>
      <c r="ET55" s="251"/>
      <c r="EU55" s="251"/>
      <c r="EV55" s="251"/>
      <c r="EW55" s="251"/>
    </row>
    <row r="56" spans="1:153" ht="17.25" hidden="1" customHeight="1">
      <c r="EO56" s="251"/>
      <c r="EP56" s="251"/>
      <c r="EQ56" s="251"/>
      <c r="ER56" s="251"/>
      <c r="ES56" s="251"/>
      <c r="ET56" s="251"/>
      <c r="EU56" s="251"/>
      <c r="EV56" s="251"/>
      <c r="EW56" s="251"/>
    </row>
    <row r="57" spans="1:153" ht="17.25" hidden="1" customHeight="1">
      <c r="EO57" s="251"/>
      <c r="EP57" s="251"/>
      <c r="EQ57" s="251"/>
      <c r="ER57" s="251"/>
      <c r="ES57" s="251"/>
      <c r="ET57" s="251"/>
      <c r="EU57" s="251"/>
      <c r="EV57" s="251"/>
      <c r="EW57" s="251"/>
    </row>
    <row r="58" spans="1:153" ht="17.25" hidden="1" customHeight="1">
      <c r="EO58" s="251"/>
      <c r="EP58" s="251"/>
      <c r="EQ58" s="251"/>
      <c r="ER58" s="251"/>
      <c r="ES58" s="251"/>
      <c r="ET58" s="251"/>
      <c r="EU58" s="251"/>
      <c r="EV58" s="251"/>
      <c r="EW58" s="251"/>
    </row>
    <row r="59" spans="1:153" ht="17.25" hidden="1" customHeight="1">
      <c r="EO59" s="251"/>
      <c r="EP59" s="251"/>
      <c r="EQ59" s="251"/>
      <c r="ER59" s="251"/>
      <c r="ES59" s="251"/>
      <c r="ET59" s="251"/>
      <c r="EU59" s="251"/>
      <c r="EV59" s="251"/>
      <c r="EW59" s="251"/>
    </row>
    <row r="60" spans="1:153" ht="17.25" hidden="1" customHeight="1">
      <c r="EO60" s="251"/>
      <c r="EP60" s="251"/>
      <c r="EQ60" s="251"/>
      <c r="ER60" s="251"/>
      <c r="ES60" s="251"/>
      <c r="ET60" s="251"/>
      <c r="EU60" s="251"/>
      <c r="EV60" s="251"/>
      <c r="EW60" s="251"/>
    </row>
    <row r="61" spans="1:153" ht="17.25" hidden="1" customHeight="1">
      <c r="EO61" s="251"/>
      <c r="EP61" s="251"/>
      <c r="EQ61" s="251"/>
      <c r="ER61" s="251"/>
      <c r="ES61" s="251"/>
      <c r="ET61" s="251"/>
      <c r="EU61" s="251"/>
      <c r="EV61" s="251"/>
      <c r="EW61" s="251"/>
    </row>
    <row r="62" spans="1:153" ht="17.25" hidden="1" customHeight="1">
      <c r="EO62" s="251"/>
      <c r="EP62" s="251"/>
      <c r="EQ62" s="251"/>
      <c r="ER62" s="251"/>
      <c r="ES62" s="251"/>
      <c r="ET62" s="251"/>
      <c r="EU62" s="251"/>
      <c r="EV62" s="251"/>
      <c r="EW62" s="251"/>
    </row>
    <row r="63" spans="1:153" ht="17.25" hidden="1" customHeight="1">
      <c r="EO63" s="251"/>
      <c r="EP63" s="251"/>
      <c r="EQ63" s="251"/>
      <c r="ER63" s="251"/>
      <c r="ES63" s="251"/>
      <c r="ET63" s="251"/>
      <c r="EU63" s="251"/>
      <c r="EV63" s="251"/>
      <c r="EW63" s="251"/>
    </row>
    <row r="64" spans="1:153" ht="17.25" hidden="1" customHeight="1">
      <c r="EO64" s="251"/>
      <c r="EP64" s="251"/>
      <c r="EQ64" s="251"/>
      <c r="ER64" s="251"/>
      <c r="ES64" s="251"/>
      <c r="ET64" s="251"/>
      <c r="EU64" s="251"/>
      <c r="EV64" s="251"/>
      <c r="EW64" s="251"/>
    </row>
    <row r="65" spans="145:153" ht="17.25" hidden="1" customHeight="1">
      <c r="EO65" s="251"/>
      <c r="EP65" s="251"/>
      <c r="EQ65" s="251"/>
      <c r="ER65" s="251"/>
      <c r="ES65" s="251"/>
      <c r="ET65" s="251"/>
      <c r="EU65" s="251"/>
      <c r="EV65" s="251"/>
      <c r="EW65" s="251"/>
    </row>
    <row r="66" spans="145:153" ht="17.25" hidden="1" customHeight="1">
      <c r="EO66" s="251"/>
      <c r="EP66" s="251"/>
      <c r="EQ66" s="251"/>
      <c r="ER66" s="251"/>
      <c r="ES66" s="251"/>
      <c r="ET66" s="251"/>
      <c r="EU66" s="251"/>
      <c r="EV66" s="251"/>
      <c r="EW66" s="251"/>
    </row>
    <row r="67" spans="145:153" ht="17.25" hidden="1" customHeight="1">
      <c r="EO67" s="251"/>
      <c r="EP67" s="251"/>
      <c r="EQ67" s="251"/>
      <c r="ER67" s="251"/>
      <c r="ES67" s="251"/>
      <c r="ET67" s="251"/>
      <c r="EU67" s="251"/>
      <c r="EV67" s="251"/>
      <c r="EW67" s="251"/>
    </row>
    <row r="68" spans="145:153" ht="17.25" hidden="1" customHeight="1">
      <c r="EO68" s="251"/>
      <c r="EP68" s="251"/>
      <c r="EQ68" s="251"/>
      <c r="ER68" s="251"/>
      <c r="ES68" s="251"/>
      <c r="ET68" s="251"/>
      <c r="EU68" s="251"/>
      <c r="EV68" s="251"/>
      <c r="EW68" s="251"/>
    </row>
    <row r="69" spans="145:153" ht="17.25" hidden="1" customHeight="1">
      <c r="EO69" s="251"/>
      <c r="EP69" s="251"/>
      <c r="EQ69" s="251"/>
      <c r="ER69" s="251"/>
      <c r="ES69" s="251"/>
      <c r="ET69" s="251"/>
      <c r="EU69" s="251"/>
      <c r="EV69" s="251"/>
      <c r="EW69" s="251"/>
    </row>
    <row r="70" spans="145:153" ht="17.25" hidden="1" customHeight="1">
      <c r="EO70" s="251"/>
      <c r="EP70" s="251"/>
      <c r="EQ70" s="251"/>
      <c r="ER70" s="251"/>
      <c r="ES70" s="251"/>
      <c r="ET70" s="251"/>
      <c r="EU70" s="251"/>
      <c r="EV70" s="251"/>
      <c r="EW70" s="251"/>
    </row>
    <row r="71" spans="145:153" ht="17.25" hidden="1" customHeight="1">
      <c r="EO71" s="251"/>
      <c r="EP71" s="251"/>
      <c r="EQ71" s="251"/>
      <c r="ER71" s="251"/>
      <c r="ES71" s="251"/>
      <c r="ET71" s="251"/>
      <c r="EU71" s="251"/>
      <c r="EV71" s="251"/>
      <c r="EW71" s="251"/>
    </row>
    <row r="72" spans="145:153" ht="17.25" hidden="1" customHeight="1">
      <c r="EO72" s="251"/>
      <c r="EP72" s="251"/>
      <c r="EQ72" s="251"/>
      <c r="ER72" s="251"/>
      <c r="ES72" s="251"/>
      <c r="ET72" s="251"/>
      <c r="EU72" s="251"/>
      <c r="EV72" s="251"/>
      <c r="EW72" s="251"/>
    </row>
    <row r="73" spans="145:153" ht="17.25" hidden="1" customHeight="1">
      <c r="EO73" s="251"/>
      <c r="EP73" s="251"/>
      <c r="EQ73" s="251"/>
      <c r="ER73" s="251"/>
      <c r="ES73" s="251"/>
      <c r="ET73" s="251"/>
      <c r="EU73" s="251"/>
      <c r="EV73" s="251"/>
      <c r="EW73" s="251"/>
    </row>
    <row r="74" spans="145:153" ht="17.25" hidden="1" customHeight="1">
      <c r="EO74" s="251"/>
      <c r="EP74" s="251"/>
      <c r="EQ74" s="251"/>
      <c r="ER74" s="251"/>
      <c r="ES74" s="251"/>
      <c r="ET74" s="251"/>
      <c r="EU74" s="251"/>
      <c r="EV74" s="251"/>
      <c r="EW74" s="251"/>
    </row>
    <row r="75" spans="145:153" ht="17.25" hidden="1" customHeight="1">
      <c r="EO75" s="251"/>
      <c r="EP75" s="251"/>
      <c r="EQ75" s="251"/>
      <c r="ER75" s="251"/>
      <c r="ES75" s="251"/>
      <c r="ET75" s="251"/>
      <c r="EU75" s="251"/>
      <c r="EV75" s="251"/>
      <c r="EW75" s="251"/>
    </row>
    <row r="76" spans="145:153" ht="17.25" hidden="1" customHeight="1">
      <c r="EO76" s="251"/>
      <c r="EP76" s="251"/>
      <c r="EQ76" s="251"/>
      <c r="ER76" s="251"/>
      <c r="ES76" s="251"/>
      <c r="ET76" s="251"/>
      <c r="EU76" s="251"/>
      <c r="EV76" s="251"/>
      <c r="EW76" s="251"/>
    </row>
    <row r="77" spans="145:153" ht="17.25" hidden="1" customHeight="1">
      <c r="EO77" s="251"/>
      <c r="EP77" s="251"/>
      <c r="EQ77" s="251"/>
      <c r="ER77" s="251"/>
      <c r="ES77" s="251"/>
      <c r="ET77" s="251"/>
      <c r="EU77" s="251"/>
      <c r="EV77" s="251"/>
      <c r="EW77" s="251"/>
    </row>
    <row r="78" spans="145:153" ht="17.25" hidden="1" customHeight="1">
      <c r="EO78" s="251"/>
      <c r="EP78" s="251"/>
      <c r="EQ78" s="251"/>
      <c r="ER78" s="251"/>
      <c r="ES78" s="251"/>
      <c r="ET78" s="251"/>
      <c r="EU78" s="251"/>
      <c r="EV78" s="251"/>
      <c r="EW78" s="251"/>
    </row>
    <row r="79" spans="145:153" ht="17.25" hidden="1" customHeight="1">
      <c r="EO79" s="251"/>
      <c r="EP79" s="251"/>
      <c r="EQ79" s="251"/>
      <c r="ER79" s="251"/>
      <c r="ES79" s="251"/>
      <c r="ET79" s="251"/>
      <c r="EU79" s="251"/>
      <c r="EV79" s="251"/>
      <c r="EW79" s="251"/>
    </row>
    <row r="80" spans="145:153" ht="17.25" hidden="1" customHeight="1">
      <c r="EO80" s="251"/>
      <c r="EP80" s="251"/>
      <c r="EQ80" s="251"/>
      <c r="ER80" s="251"/>
      <c r="ES80" s="251"/>
      <c r="ET80" s="251"/>
      <c r="EU80" s="251"/>
      <c r="EV80" s="251"/>
      <c r="EW80" s="251"/>
    </row>
    <row r="81" spans="145:153" ht="17.25" hidden="1" customHeight="1">
      <c r="EO81" s="251"/>
      <c r="EP81" s="251"/>
      <c r="EQ81" s="251"/>
      <c r="ER81" s="251"/>
      <c r="ES81" s="251"/>
      <c r="ET81" s="251"/>
      <c r="EU81" s="251"/>
      <c r="EV81" s="251"/>
      <c r="EW81" s="251"/>
    </row>
    <row r="82" spans="145:153" ht="17.25" hidden="1" customHeight="1">
      <c r="EO82" s="251"/>
      <c r="EP82" s="251"/>
      <c r="EQ82" s="251"/>
      <c r="ER82" s="251"/>
      <c r="ES82" s="251"/>
      <c r="ET82" s="251"/>
      <c r="EU82" s="251"/>
      <c r="EV82" s="251"/>
      <c r="EW82" s="251"/>
    </row>
    <row r="83" spans="145:153" ht="17.25" hidden="1" customHeight="1">
      <c r="EO83" s="251"/>
      <c r="EP83" s="251"/>
      <c r="EQ83" s="251"/>
      <c r="ER83" s="251"/>
      <c r="ES83" s="251"/>
      <c r="ET83" s="251"/>
      <c r="EU83" s="251"/>
      <c r="EV83" s="251"/>
      <c r="EW83" s="251"/>
    </row>
    <row r="84" spans="145:153" ht="17.25" hidden="1" customHeight="1">
      <c r="EO84" s="251"/>
      <c r="EP84" s="251"/>
      <c r="EQ84" s="251"/>
      <c r="ER84" s="251"/>
      <c r="ES84" s="251"/>
      <c r="ET84" s="251"/>
      <c r="EU84" s="251"/>
      <c r="EV84" s="251"/>
      <c r="EW84" s="251"/>
    </row>
    <row r="85" spans="145:153" ht="17.25" hidden="1" customHeight="1">
      <c r="EO85" s="251"/>
      <c r="EP85" s="251"/>
      <c r="EQ85" s="251"/>
      <c r="ER85" s="251"/>
      <c r="ES85" s="251"/>
      <c r="ET85" s="251"/>
      <c r="EU85" s="251"/>
      <c r="EV85" s="251"/>
      <c r="EW85" s="251"/>
    </row>
    <row r="86" spans="145:153" ht="17.25" hidden="1" customHeight="1">
      <c r="EO86" s="251"/>
      <c r="EP86" s="251"/>
      <c r="EQ86" s="251"/>
      <c r="ER86" s="251"/>
      <c r="ES86" s="251"/>
      <c r="ET86" s="251"/>
      <c r="EU86" s="251"/>
      <c r="EV86" s="251"/>
      <c r="EW86" s="251"/>
    </row>
    <row r="87" spans="145:153" ht="17.25" hidden="1" customHeight="1">
      <c r="EO87" s="251"/>
      <c r="EP87" s="251"/>
      <c r="EQ87" s="251"/>
      <c r="ER87" s="251"/>
      <c r="ES87" s="251"/>
      <c r="ET87" s="251"/>
      <c r="EU87" s="251"/>
      <c r="EV87" s="251"/>
      <c r="EW87" s="251"/>
    </row>
    <row r="88" spans="145:153" ht="17.25" hidden="1" customHeight="1">
      <c r="EO88" s="251"/>
      <c r="EP88" s="251"/>
      <c r="EQ88" s="251"/>
      <c r="ER88" s="251"/>
      <c r="ES88" s="251"/>
      <c r="ET88" s="251"/>
      <c r="EU88" s="251"/>
      <c r="EV88" s="251"/>
      <c r="EW88" s="251"/>
    </row>
    <row r="89" spans="145:153" ht="17.25" hidden="1" customHeight="1">
      <c r="EO89" s="251"/>
      <c r="EP89" s="251"/>
      <c r="EQ89" s="251"/>
      <c r="ER89" s="251"/>
      <c r="ES89" s="251"/>
      <c r="ET89" s="251"/>
      <c r="EU89" s="251"/>
      <c r="EV89" s="251"/>
      <c r="EW89" s="251"/>
    </row>
    <row r="90" spans="145:153" ht="17.25" hidden="1" customHeight="1">
      <c r="EO90" s="251"/>
      <c r="EP90" s="251"/>
      <c r="EQ90" s="251"/>
      <c r="ER90" s="251"/>
      <c r="ES90" s="251"/>
      <c r="ET90" s="251"/>
      <c r="EU90" s="251"/>
      <c r="EV90" s="251"/>
      <c r="EW90" s="251"/>
    </row>
    <row r="91" spans="145:153" ht="17.25" hidden="1" customHeight="1">
      <c r="EO91" s="251"/>
      <c r="EP91" s="251"/>
      <c r="EQ91" s="251"/>
      <c r="ER91" s="251"/>
      <c r="ES91" s="251"/>
      <c r="ET91" s="251"/>
      <c r="EU91" s="251"/>
      <c r="EV91" s="251"/>
      <c r="EW91" s="251"/>
    </row>
    <row r="92" spans="145:153" ht="17.25" hidden="1" customHeight="1">
      <c r="EO92" s="251"/>
      <c r="EP92" s="251"/>
      <c r="EQ92" s="251"/>
      <c r="ER92" s="251"/>
      <c r="ES92" s="251"/>
      <c r="ET92" s="251"/>
      <c r="EU92" s="251"/>
      <c r="EV92" s="251"/>
      <c r="EW92" s="251"/>
    </row>
    <row r="93" spans="145:153" ht="3" customHeight="1">
      <c r="EO93" s="251"/>
      <c r="EP93" s="251"/>
      <c r="EQ93" s="251"/>
      <c r="ER93" s="251"/>
      <c r="ES93" s="251"/>
      <c r="ET93" s="251"/>
      <c r="EU93" s="251"/>
      <c r="EV93" s="251"/>
      <c r="EW93" s="251"/>
    </row>
    <row r="94" spans="145:153" ht="17.25" hidden="1" customHeight="1">
      <c r="EO94" s="251"/>
      <c r="EP94" s="251"/>
      <c r="EQ94" s="251"/>
      <c r="ER94" s="251"/>
      <c r="ES94" s="251"/>
      <c r="ET94" s="251"/>
      <c r="EU94" s="251"/>
      <c r="EV94" s="251"/>
      <c r="EW94" s="251"/>
    </row>
    <row r="95" spans="145:153" hidden="1"/>
    <row r="96" spans="145:153" hidden="1"/>
    <row r="97" spans="1:153" hidden="1"/>
    <row r="98" spans="1:153" hidden="1"/>
    <row r="99" spans="1:153" hidden="1"/>
    <row r="100" spans="1:153" hidden="1"/>
    <row r="101" spans="1:153" hidden="1"/>
    <row r="102" spans="1:153" hidden="1"/>
    <row r="103" spans="1:153" hidden="1"/>
    <row r="104" spans="1:153" hidden="1"/>
    <row r="105" spans="1:153" hidden="1"/>
    <row r="106" spans="1:153" ht="17.25" hidden="1" customHeight="1">
      <c r="B106" s="304"/>
      <c r="C106" s="305"/>
      <c r="EO106" s="251"/>
      <c r="EP106" s="251"/>
      <c r="EQ106" s="251"/>
      <c r="ER106" s="251"/>
      <c r="ES106" s="251"/>
      <c r="ET106" s="251"/>
      <c r="EU106" s="251"/>
      <c r="EV106" s="251"/>
      <c r="EW106" s="251"/>
    </row>
    <row r="107" spans="1:153" s="307" customFormat="1" ht="17.25" customHeight="1">
      <c r="A107" s="306"/>
      <c r="AB107" s="629"/>
      <c r="AC107" s="308"/>
      <c r="AD107" s="308"/>
      <c r="AE107" s="308"/>
      <c r="AF107" s="308"/>
      <c r="AG107" s="309"/>
      <c r="AH107" s="310"/>
      <c r="AI107" s="310"/>
      <c r="AJ107" s="310"/>
      <c r="AK107" s="310"/>
      <c r="AL107" s="310"/>
      <c r="AM107" s="310"/>
      <c r="AN107" s="309"/>
      <c r="AO107" s="309"/>
      <c r="AP107" s="309"/>
      <c r="AQ107" s="309"/>
      <c r="AR107" s="309"/>
      <c r="AS107" s="309"/>
      <c r="AT107" s="309"/>
      <c r="AU107" s="309"/>
      <c r="AV107" s="309"/>
      <c r="AW107" s="309"/>
      <c r="AX107" s="309"/>
      <c r="AY107" s="309"/>
      <c r="AZ107" s="309"/>
      <c r="BA107" s="309"/>
      <c r="BB107" s="309"/>
      <c r="BC107" s="309"/>
      <c r="BD107" s="311"/>
      <c r="BE107" s="311"/>
      <c r="BF107" s="311"/>
      <c r="BG107" s="311"/>
      <c r="BH107" s="311"/>
      <c r="BI107" s="311"/>
      <c r="BJ107" s="311"/>
      <c r="BK107" s="311"/>
      <c r="BL107" s="311"/>
      <c r="BM107" s="311"/>
      <c r="BN107" s="311"/>
      <c r="BO107" s="311"/>
      <c r="BP107" s="311"/>
      <c r="BQ107" s="311"/>
      <c r="BR107" s="311"/>
      <c r="BS107" s="311"/>
      <c r="BT107" s="311"/>
      <c r="BU107" s="312"/>
      <c r="BV107" s="312"/>
      <c r="BW107" s="312"/>
      <c r="BX107" s="312"/>
      <c r="BY107" s="312"/>
      <c r="BZ107" s="312"/>
      <c r="CA107" s="312"/>
      <c r="CB107" s="312"/>
      <c r="CC107" s="312"/>
      <c r="CD107" s="312"/>
      <c r="CE107" s="312"/>
      <c r="CF107" s="312"/>
      <c r="CG107" s="312"/>
      <c r="CH107" s="312"/>
      <c r="CI107" s="312"/>
      <c r="CJ107" s="312"/>
      <c r="CK107" s="312"/>
      <c r="CL107" s="312"/>
      <c r="CM107" s="312"/>
      <c r="CN107" s="312"/>
      <c r="CO107" s="312"/>
      <c r="CP107" s="312"/>
      <c r="CQ107" s="312"/>
      <c r="CR107" s="312"/>
      <c r="CS107" s="312"/>
      <c r="CT107" s="312"/>
      <c r="CU107" s="312"/>
      <c r="CV107" s="312"/>
      <c r="CW107" s="312"/>
      <c r="CX107" s="312"/>
      <c r="CY107" s="312"/>
      <c r="CZ107" s="312"/>
      <c r="DA107" s="312"/>
      <c r="DB107" s="312"/>
      <c r="DC107" s="312"/>
      <c r="DD107" s="312"/>
      <c r="DE107" s="312"/>
      <c r="DF107" s="312"/>
      <c r="DG107" s="312"/>
      <c r="DH107" s="312"/>
      <c r="DI107" s="312"/>
      <c r="DJ107" s="312"/>
      <c r="DK107" s="312"/>
      <c r="DL107" s="312"/>
      <c r="DM107" s="312"/>
      <c r="DN107" s="312"/>
      <c r="DO107" s="312"/>
      <c r="DP107" s="312"/>
      <c r="DQ107" s="312"/>
      <c r="DR107" s="312"/>
      <c r="DS107" s="312"/>
      <c r="DT107" s="312"/>
      <c r="DU107" s="312"/>
      <c r="DV107" s="312"/>
      <c r="DW107" s="312"/>
      <c r="DX107" s="312"/>
      <c r="DY107" s="312"/>
      <c r="DZ107" s="312"/>
      <c r="EA107" s="312"/>
      <c r="EB107" s="312"/>
      <c r="EC107" s="312"/>
      <c r="ED107" s="312"/>
      <c r="EE107" s="312"/>
      <c r="EF107" s="312"/>
      <c r="EG107" s="312"/>
      <c r="EH107" s="312"/>
      <c r="EI107" s="312"/>
      <c r="EJ107" s="312"/>
      <c r="EK107" s="312"/>
      <c r="EL107" s="312"/>
      <c r="EM107" s="312"/>
      <c r="EN107" s="312"/>
      <c r="EO107" s="312"/>
      <c r="EP107" s="312"/>
      <c r="EQ107" s="312"/>
      <c r="ER107" s="312"/>
      <c r="ES107" s="312"/>
      <c r="ET107" s="312"/>
      <c r="EU107" s="312"/>
      <c r="EV107" s="312"/>
      <c r="EW107" s="312"/>
    </row>
    <row r="108" spans="1:153" ht="30.75" customHeight="1">
      <c r="B108" s="1114" t="s">
        <v>451</v>
      </c>
      <c r="C108" s="1114"/>
      <c r="D108" s="1114"/>
      <c r="E108" s="1114"/>
      <c r="F108" s="1114"/>
      <c r="G108" s="1114"/>
      <c r="H108" s="1114"/>
      <c r="I108" s="1114"/>
      <c r="J108" s="1114"/>
      <c r="K108" s="1114"/>
      <c r="L108" s="1114"/>
      <c r="M108" s="1114"/>
      <c r="N108" s="1114"/>
      <c r="O108" s="1114"/>
      <c r="P108" s="1114"/>
      <c r="Q108" s="564"/>
      <c r="EO108" s="251"/>
      <c r="EP108" s="251"/>
      <c r="EQ108" s="251"/>
      <c r="ER108" s="251"/>
      <c r="ES108" s="251"/>
      <c r="ET108" s="251"/>
      <c r="EU108" s="251"/>
      <c r="EV108" s="251"/>
      <c r="EW108" s="251"/>
    </row>
    <row r="109" spans="1:153" ht="1.5" customHeight="1">
      <c r="B109" s="313"/>
      <c r="C109" s="313"/>
      <c r="D109" s="313"/>
      <c r="E109" s="313"/>
      <c r="F109" s="313"/>
      <c r="G109" s="313"/>
      <c r="H109" s="313"/>
      <c r="I109" s="313"/>
      <c r="J109" s="313"/>
      <c r="K109" s="313"/>
      <c r="L109" s="313"/>
      <c r="M109" s="313"/>
      <c r="N109" s="314"/>
      <c r="O109" s="314" t="s">
        <v>41</v>
      </c>
      <c r="P109" s="314"/>
      <c r="Q109" s="314"/>
      <c r="R109" s="314" t="s">
        <v>42</v>
      </c>
      <c r="S109" s="314"/>
      <c r="T109" s="314"/>
      <c r="U109" s="314"/>
      <c r="V109" s="315" t="s">
        <v>43</v>
      </c>
      <c r="W109" s="314"/>
      <c r="X109" s="313"/>
      <c r="Y109" s="313"/>
      <c r="Z109" s="316"/>
      <c r="AG109" s="317" t="e">
        <f>#REF!</f>
        <v>#REF!</v>
      </c>
      <c r="EO109" s="251"/>
      <c r="EP109" s="251"/>
      <c r="EQ109" s="251"/>
      <c r="ER109" s="251"/>
      <c r="ES109" s="251"/>
      <c r="ET109" s="251"/>
      <c r="EU109" s="251"/>
      <c r="EV109" s="251"/>
      <c r="EW109" s="251"/>
    </row>
    <row r="110" spans="1:153" ht="0.75" customHeight="1">
      <c r="B110" s="314" t="s">
        <v>44</v>
      </c>
      <c r="C110" s="313"/>
      <c r="D110" s="313"/>
      <c r="E110" s="313"/>
      <c r="F110" s="313"/>
      <c r="G110" s="313"/>
      <c r="H110" s="318" t="s">
        <v>45</v>
      </c>
      <c r="I110" s="319"/>
      <c r="J110" s="320" t="s">
        <v>2</v>
      </c>
      <c r="K110" s="319"/>
      <c r="L110" s="319"/>
      <c r="M110" s="319"/>
      <c r="N110" s="319"/>
      <c r="O110" s="319"/>
      <c r="P110" s="319"/>
      <c r="Q110" s="319"/>
      <c r="R110" s="319"/>
      <c r="S110" s="319"/>
      <c r="T110" s="319"/>
      <c r="U110" s="319"/>
      <c r="V110" s="319"/>
      <c r="W110" s="319"/>
      <c r="X110" s="319"/>
      <c r="Y110" s="319"/>
      <c r="Z110" s="316"/>
      <c r="AH110" s="298" t="e">
        <f>-MAX(#REF!-1,0)*2</f>
        <v>#REF!</v>
      </c>
      <c r="AI110" s="298"/>
      <c r="AJ110" s="298"/>
      <c r="AK110" s="298"/>
      <c r="AL110" s="298"/>
      <c r="AM110" s="298"/>
      <c r="AN110" s="317" t="e">
        <f>MAX(AH110,-10)</f>
        <v>#REF!</v>
      </c>
      <c r="EO110" s="251"/>
      <c r="EP110" s="251"/>
      <c r="EQ110" s="251"/>
      <c r="ER110" s="251"/>
      <c r="ES110" s="251"/>
      <c r="ET110" s="251"/>
      <c r="EU110" s="251"/>
      <c r="EV110" s="251"/>
      <c r="EW110" s="251"/>
    </row>
    <row r="111" spans="1:153" ht="0.75" customHeight="1">
      <c r="B111" s="313"/>
      <c r="C111" s="313"/>
      <c r="D111" s="313"/>
      <c r="E111" s="313"/>
      <c r="F111" s="313"/>
      <c r="G111" s="319"/>
      <c r="H111" s="319"/>
      <c r="I111" s="319"/>
      <c r="J111" s="319"/>
      <c r="K111" s="319"/>
      <c r="L111" s="319"/>
      <c r="M111" s="319"/>
      <c r="N111" s="738"/>
      <c r="O111" s="738"/>
      <c r="P111" s="738"/>
      <c r="Q111" s="321" t="s">
        <v>46</v>
      </c>
      <c r="R111" s="322"/>
      <c r="S111" s="321" t="s">
        <v>47</v>
      </c>
      <c r="T111" s="738">
        <f>N111*R111/100</f>
        <v>0</v>
      </c>
      <c r="U111" s="738"/>
      <c r="V111" s="738"/>
      <c r="W111" s="738"/>
      <c r="X111" s="738"/>
      <c r="Y111" s="319"/>
      <c r="Z111" s="316"/>
      <c r="EO111" s="251"/>
      <c r="EP111" s="251"/>
      <c r="EQ111" s="251"/>
      <c r="ER111" s="251"/>
      <c r="ES111" s="251"/>
      <c r="ET111" s="251"/>
      <c r="EU111" s="251"/>
      <c r="EV111" s="251"/>
      <c r="EW111" s="251"/>
    </row>
    <row r="112" spans="1:153" ht="0.75" customHeight="1">
      <c r="B112" s="316"/>
      <c r="C112" s="876" t="s">
        <v>2</v>
      </c>
      <c r="D112" s="876"/>
      <c r="E112" s="876"/>
      <c r="F112" s="876"/>
      <c r="G112" s="876"/>
      <c r="H112" s="876"/>
      <c r="I112" s="876"/>
      <c r="J112" s="876"/>
      <c r="K112" s="876"/>
      <c r="L112" s="876"/>
      <c r="M112" s="876"/>
      <c r="N112" s="876"/>
      <c r="O112" s="876"/>
      <c r="P112" s="876"/>
      <c r="Q112" s="876"/>
      <c r="R112" s="876"/>
      <c r="S112" s="876"/>
      <c r="T112" s="876"/>
      <c r="U112" s="876"/>
      <c r="V112" s="876"/>
      <c r="W112" s="876"/>
      <c r="X112" s="876"/>
      <c r="Y112" s="876"/>
      <c r="Z112" s="316"/>
      <c r="EO112" s="251"/>
      <c r="EP112" s="251"/>
      <c r="EQ112" s="251"/>
      <c r="ER112" s="251"/>
      <c r="ES112" s="251"/>
      <c r="ET112" s="251"/>
      <c r="EU112" s="251"/>
      <c r="EV112" s="251"/>
      <c r="EW112" s="251"/>
    </row>
    <row r="113" spans="1:153" ht="0.75" customHeight="1">
      <c r="B113" s="316"/>
      <c r="C113" s="316"/>
      <c r="D113" s="316"/>
      <c r="E113" s="316"/>
      <c r="F113" s="316"/>
      <c r="G113" s="323"/>
      <c r="H113" s="323"/>
      <c r="I113" s="319"/>
      <c r="J113" s="319"/>
      <c r="K113" s="319"/>
      <c r="L113" s="319"/>
      <c r="M113" s="319"/>
      <c r="N113" s="738"/>
      <c r="O113" s="738"/>
      <c r="P113" s="738"/>
      <c r="Q113" s="321"/>
      <c r="R113" s="322"/>
      <c r="S113" s="321"/>
      <c r="T113" s="738">
        <f>N113*R113/100</f>
        <v>0</v>
      </c>
      <c r="U113" s="738"/>
      <c r="V113" s="738"/>
      <c r="W113" s="738"/>
      <c r="X113" s="738"/>
      <c r="Y113" s="319"/>
      <c r="Z113" s="316"/>
      <c r="EO113" s="251"/>
      <c r="EP113" s="251"/>
      <c r="EQ113" s="251"/>
      <c r="ER113" s="251"/>
      <c r="ES113" s="251"/>
      <c r="ET113" s="251"/>
      <c r="EU113" s="251"/>
      <c r="EV113" s="251"/>
      <c r="EW113" s="251"/>
    </row>
    <row r="114" spans="1:153" ht="0.75" customHeight="1">
      <c r="B114" s="316"/>
      <c r="C114" s="316"/>
      <c r="D114" s="316"/>
      <c r="E114" s="316"/>
      <c r="F114" s="316"/>
      <c r="G114" s="323"/>
      <c r="H114" s="323"/>
      <c r="I114" s="319"/>
      <c r="J114" s="319"/>
      <c r="K114" s="319"/>
      <c r="L114" s="319"/>
      <c r="M114" s="319"/>
      <c r="N114" s="738"/>
      <c r="O114" s="738"/>
      <c r="P114" s="738"/>
      <c r="Q114" s="321"/>
      <c r="R114" s="322"/>
      <c r="S114" s="321"/>
      <c r="T114" s="738">
        <f>N114*R114/100</f>
        <v>0</v>
      </c>
      <c r="U114" s="738"/>
      <c r="V114" s="738"/>
      <c r="W114" s="738"/>
      <c r="X114" s="738"/>
      <c r="Y114" s="319"/>
      <c r="Z114" s="316"/>
      <c r="EO114" s="251"/>
      <c r="EP114" s="251"/>
      <c r="EQ114" s="251"/>
      <c r="ER114" s="251"/>
      <c r="ES114" s="251"/>
      <c r="ET114" s="251"/>
      <c r="EU114" s="251"/>
      <c r="EV114" s="251"/>
      <c r="EW114" s="251"/>
    </row>
    <row r="115" spans="1:153" s="256" customFormat="1" ht="0.75" customHeight="1">
      <c r="A115" s="244"/>
      <c r="B115" s="323"/>
      <c r="C115" s="323"/>
      <c r="D115" s="323"/>
      <c r="E115" s="323"/>
      <c r="F115" s="323"/>
      <c r="G115" s="323"/>
      <c r="H115" s="323"/>
      <c r="I115" s="319"/>
      <c r="J115" s="319"/>
      <c r="K115" s="319"/>
      <c r="L115" s="319"/>
      <c r="M115" s="319"/>
      <c r="N115" s="324"/>
      <c r="O115" s="324"/>
      <c r="P115" s="324"/>
      <c r="Q115" s="321"/>
      <c r="R115" s="319"/>
      <c r="S115" s="321"/>
      <c r="T115" s="324"/>
      <c r="U115" s="324"/>
      <c r="V115" s="324"/>
      <c r="W115" s="324"/>
      <c r="X115" s="324"/>
      <c r="Y115" s="319"/>
      <c r="Z115" s="323"/>
      <c r="AB115" s="629"/>
      <c r="AC115" s="247"/>
      <c r="AD115" s="247"/>
      <c r="AE115" s="247"/>
      <c r="AF115" s="247"/>
      <c r="AG115" s="248"/>
      <c r="AH115" s="249"/>
      <c r="AI115" s="249"/>
      <c r="AJ115" s="249"/>
      <c r="AK115" s="249"/>
      <c r="AL115" s="249"/>
      <c r="AM115" s="249"/>
      <c r="AN115" s="248"/>
      <c r="AO115" s="248"/>
      <c r="AP115" s="248"/>
      <c r="AQ115" s="248"/>
      <c r="AR115" s="248"/>
      <c r="AS115" s="248"/>
      <c r="AT115" s="248"/>
      <c r="AU115" s="248"/>
      <c r="AV115" s="248"/>
      <c r="AW115" s="248"/>
      <c r="AX115" s="248"/>
      <c r="AY115" s="248"/>
      <c r="AZ115" s="248"/>
      <c r="BA115" s="248"/>
      <c r="BB115" s="248"/>
      <c r="BC115" s="248"/>
      <c r="BD115" s="250"/>
      <c r="BE115" s="250"/>
      <c r="BF115" s="250"/>
      <c r="BG115" s="250"/>
      <c r="BH115" s="250"/>
      <c r="BI115" s="250"/>
      <c r="BJ115" s="250"/>
      <c r="BK115" s="250"/>
      <c r="BL115" s="250"/>
      <c r="BM115" s="250"/>
      <c r="BN115" s="250"/>
      <c r="BO115" s="250"/>
      <c r="BP115" s="250"/>
      <c r="BQ115" s="250"/>
      <c r="BR115" s="250"/>
      <c r="BS115" s="250"/>
      <c r="BT115" s="250"/>
      <c r="BU115" s="251"/>
      <c r="BV115" s="251"/>
      <c r="BW115" s="251"/>
      <c r="BX115" s="251"/>
      <c r="BY115" s="251"/>
      <c r="BZ115" s="251"/>
      <c r="CA115" s="251"/>
      <c r="CB115" s="251"/>
      <c r="CC115" s="251"/>
      <c r="CD115" s="251"/>
      <c r="CE115" s="251"/>
      <c r="CF115" s="251"/>
      <c r="CG115" s="251"/>
      <c r="CH115" s="251"/>
      <c r="CI115" s="251"/>
      <c r="CJ115" s="251"/>
      <c r="CK115" s="251"/>
      <c r="CL115" s="251"/>
      <c r="CM115" s="251"/>
      <c r="CN115" s="251"/>
      <c r="CO115" s="251"/>
      <c r="CP115" s="251"/>
      <c r="CQ115" s="251"/>
      <c r="CR115" s="251"/>
      <c r="CS115" s="251"/>
      <c r="CT115" s="251"/>
      <c r="CU115" s="251"/>
      <c r="CV115" s="251"/>
      <c r="CW115" s="251"/>
      <c r="CX115" s="251"/>
      <c r="CY115" s="251"/>
      <c r="CZ115" s="251"/>
      <c r="DA115" s="251"/>
      <c r="DB115" s="251"/>
      <c r="DC115" s="251"/>
      <c r="DD115" s="251"/>
      <c r="DE115" s="251"/>
      <c r="DF115" s="251"/>
      <c r="DG115" s="251"/>
      <c r="DH115" s="251"/>
      <c r="DI115" s="251"/>
      <c r="DJ115" s="251"/>
      <c r="DK115" s="251"/>
      <c r="DL115" s="251"/>
      <c r="DM115" s="251"/>
      <c r="DN115" s="251"/>
      <c r="DO115" s="251"/>
      <c r="DP115" s="251"/>
      <c r="DQ115" s="251"/>
      <c r="DR115" s="251"/>
      <c r="DS115" s="251"/>
      <c r="DT115" s="251"/>
      <c r="DU115" s="251"/>
      <c r="DV115" s="251"/>
      <c r="DW115" s="251"/>
      <c r="DX115" s="251"/>
      <c r="DY115" s="251"/>
      <c r="DZ115" s="251"/>
      <c r="EA115" s="251"/>
      <c r="EB115" s="251"/>
      <c r="EC115" s="251"/>
      <c r="ED115" s="251"/>
      <c r="EE115" s="251"/>
      <c r="EF115" s="251"/>
      <c r="EG115" s="251"/>
      <c r="EH115" s="251"/>
      <c r="EI115" s="251"/>
      <c r="EJ115" s="251"/>
      <c r="EK115" s="251"/>
      <c r="EL115" s="251"/>
      <c r="EM115" s="251"/>
      <c r="EN115" s="251"/>
      <c r="EO115" s="251"/>
      <c r="EP115" s="251"/>
      <c r="EQ115" s="251"/>
      <c r="ER115" s="251"/>
      <c r="ES115" s="251"/>
      <c r="ET115" s="251"/>
      <c r="EU115" s="251"/>
      <c r="EV115" s="251"/>
      <c r="EW115" s="251"/>
    </row>
    <row r="116" spans="1:153" ht="0.75" customHeight="1">
      <c r="B116" s="316"/>
      <c r="C116" s="316"/>
      <c r="D116" s="316"/>
      <c r="E116" s="316"/>
      <c r="F116" s="316"/>
      <c r="G116" s="323"/>
      <c r="H116" s="323"/>
      <c r="I116" s="319"/>
      <c r="J116" s="319"/>
      <c r="K116" s="319"/>
      <c r="L116" s="319"/>
      <c r="M116" s="319"/>
      <c r="N116" s="319"/>
      <c r="O116" s="319"/>
      <c r="P116" s="319"/>
      <c r="Q116" s="319"/>
      <c r="R116" s="319"/>
      <c r="S116" s="325" t="s">
        <v>48</v>
      </c>
      <c r="T116" s="738">
        <f>SUM(T111:X114)</f>
        <v>0</v>
      </c>
      <c r="U116" s="738"/>
      <c r="V116" s="738"/>
      <c r="W116" s="738"/>
      <c r="X116" s="738"/>
      <c r="Y116" s="319"/>
      <c r="Z116" s="316"/>
      <c r="EO116" s="251"/>
      <c r="EP116" s="251"/>
      <c r="EQ116" s="251"/>
      <c r="ER116" s="251"/>
      <c r="ES116" s="251"/>
      <c r="ET116" s="251"/>
      <c r="EU116" s="251"/>
      <c r="EV116" s="251"/>
      <c r="EW116" s="251"/>
    </row>
    <row r="117" spans="1:153" ht="0.75" customHeight="1">
      <c r="B117" s="316"/>
      <c r="C117" s="316"/>
      <c r="D117" s="316"/>
      <c r="E117" s="316"/>
      <c r="F117" s="316"/>
      <c r="G117" s="316"/>
      <c r="H117" s="316"/>
      <c r="I117" s="319"/>
      <c r="J117" s="319"/>
      <c r="K117" s="319"/>
      <c r="L117" s="319"/>
      <c r="M117" s="319"/>
      <c r="N117" s="319"/>
      <c r="O117" s="319"/>
      <c r="P117" s="319"/>
      <c r="Q117" s="319"/>
      <c r="R117" s="319"/>
      <c r="S117" s="319"/>
      <c r="T117" s="319"/>
      <c r="U117" s="319"/>
      <c r="V117" s="319"/>
      <c r="W117" s="319"/>
      <c r="X117" s="319"/>
      <c r="Y117" s="319"/>
      <c r="Z117" s="316"/>
      <c r="EO117" s="251"/>
      <c r="EP117" s="251"/>
      <c r="EQ117" s="251"/>
      <c r="ER117" s="251"/>
      <c r="ES117" s="251"/>
      <c r="ET117" s="251"/>
      <c r="EU117" s="251"/>
      <c r="EV117" s="251"/>
      <c r="EW117" s="251"/>
    </row>
    <row r="118" spans="1:153">
      <c r="B118" s="282" t="s">
        <v>2</v>
      </c>
      <c r="O118" s="561" t="s">
        <v>466</v>
      </c>
      <c r="P118" s="563"/>
      <c r="Q118" s="563"/>
      <c r="R118" s="561" t="s">
        <v>448</v>
      </c>
      <c r="S118" s="563"/>
      <c r="T118" s="563"/>
      <c r="U118" s="563"/>
      <c r="V118" s="562" t="s">
        <v>447</v>
      </c>
      <c r="W118" s="563"/>
      <c r="EO118" s="251"/>
      <c r="EP118" s="251"/>
      <c r="EQ118" s="251"/>
      <c r="ER118" s="251"/>
      <c r="ES118" s="251"/>
      <c r="ET118" s="251"/>
      <c r="EU118" s="251"/>
      <c r="EV118" s="251"/>
      <c r="EW118" s="251"/>
    </row>
    <row r="119" spans="1:153" ht="13.5" thickBot="1">
      <c r="I119" s="245" t="s">
        <v>49</v>
      </c>
      <c r="EO119" s="251"/>
      <c r="EP119" s="251"/>
      <c r="EQ119" s="251"/>
      <c r="ER119" s="251"/>
      <c r="ES119" s="251"/>
      <c r="ET119" s="251"/>
      <c r="EU119" s="251"/>
      <c r="EV119" s="251"/>
      <c r="EW119" s="251"/>
    </row>
    <row r="120" spans="1:153" ht="13.5" thickBot="1">
      <c r="F120" s="302" t="s">
        <v>408</v>
      </c>
      <c r="H120" s="811" t="str">
        <f>PROPOSITION!H74</f>
        <v xml:space="preserve"> </v>
      </c>
      <c r="I120" s="812"/>
      <c r="J120" s="813"/>
      <c r="N120" s="807">
        <f>PROPOSITION!N74</f>
        <v>0</v>
      </c>
      <c r="O120" s="808"/>
      <c r="P120" s="809"/>
      <c r="R120" s="406">
        <v>1.5</v>
      </c>
      <c r="T120" s="1100">
        <f>N120*R120/100</f>
        <v>0</v>
      </c>
      <c r="U120" s="1130"/>
      <c r="V120" s="1130"/>
      <c r="W120" s="1131"/>
      <c r="X120" s="1121" t="s">
        <v>554</v>
      </c>
      <c r="Y120" s="1020"/>
      <c r="Z120" s="1020"/>
      <c r="EO120" s="251"/>
      <c r="EP120" s="251"/>
      <c r="EQ120" s="251"/>
      <c r="ER120" s="251"/>
      <c r="ES120" s="251"/>
      <c r="ET120" s="251"/>
      <c r="EU120" s="251"/>
      <c r="EV120" s="251"/>
      <c r="EW120" s="251"/>
    </row>
    <row r="121" spans="1:153" ht="4.5" customHeight="1" thickBot="1">
      <c r="F121" s="263"/>
      <c r="R121" s="328"/>
      <c r="T121" s="329"/>
      <c r="U121" s="329"/>
      <c r="V121" s="329"/>
      <c r="W121" s="329"/>
      <c r="X121" s="329"/>
      <c r="Y121" s="305"/>
      <c r="Z121" s="305"/>
      <c r="EO121" s="251"/>
      <c r="EP121" s="251"/>
      <c r="EQ121" s="251"/>
      <c r="ER121" s="251"/>
      <c r="ES121" s="251"/>
      <c r="ET121" s="251"/>
      <c r="EU121" s="251"/>
      <c r="EV121" s="251"/>
      <c r="EW121" s="251"/>
    </row>
    <row r="122" spans="1:153" ht="13.5" thickBot="1">
      <c r="F122" s="302" t="s">
        <v>409</v>
      </c>
      <c r="H122" s="811" t="str">
        <f>PROPOSITION!H76</f>
        <v xml:space="preserve"> </v>
      </c>
      <c r="I122" s="812"/>
      <c r="J122" s="813"/>
      <c r="N122" s="807">
        <f>PROPOSITION!N76</f>
        <v>0</v>
      </c>
      <c r="O122" s="808"/>
      <c r="P122" s="809"/>
      <c r="R122" s="406">
        <v>1.5</v>
      </c>
      <c r="T122" s="1100">
        <f>N122*R122/100</f>
        <v>0</v>
      </c>
      <c r="U122" s="1101"/>
      <c r="V122" s="1101"/>
      <c r="W122" s="1102"/>
      <c r="X122" s="1121" t="s">
        <v>554</v>
      </c>
      <c r="Y122" s="1020"/>
      <c r="Z122" s="1020"/>
      <c r="EO122" s="251"/>
      <c r="EP122" s="251"/>
      <c r="EQ122" s="251"/>
      <c r="ER122" s="251"/>
      <c r="ES122" s="251"/>
      <c r="ET122" s="251"/>
      <c r="EU122" s="251"/>
      <c r="EV122" s="251"/>
      <c r="EW122" s="251"/>
    </row>
    <row r="123" spans="1:153" ht="4.5" customHeight="1" thickBot="1">
      <c r="F123" s="302" t="s">
        <v>2</v>
      </c>
      <c r="R123" s="328"/>
      <c r="T123" s="329"/>
      <c r="U123" s="329"/>
      <c r="V123" s="329"/>
      <c r="W123" s="329"/>
      <c r="X123" s="329"/>
      <c r="Y123" s="305"/>
      <c r="Z123" s="305"/>
      <c r="EO123" s="251"/>
      <c r="EP123" s="251"/>
      <c r="EQ123" s="251"/>
      <c r="ER123" s="251"/>
      <c r="ES123" s="251"/>
      <c r="ET123" s="251"/>
      <c r="EU123" s="251"/>
      <c r="EV123" s="251"/>
      <c r="EW123" s="251"/>
    </row>
    <row r="124" spans="1:153" ht="13.5" thickBot="1">
      <c r="F124" s="302" t="s">
        <v>410</v>
      </c>
      <c r="H124" s="811" t="str">
        <f>PROPOSITION!H78</f>
        <v xml:space="preserve"> </v>
      </c>
      <c r="I124" s="812"/>
      <c r="J124" s="813"/>
      <c r="N124" s="807">
        <f>PROPOSITION!N78</f>
        <v>0</v>
      </c>
      <c r="O124" s="808"/>
      <c r="P124" s="809"/>
      <c r="R124" s="406">
        <v>1.5</v>
      </c>
      <c r="T124" s="1100">
        <f>N124*R124/100</f>
        <v>0</v>
      </c>
      <c r="U124" s="1101"/>
      <c r="V124" s="1101"/>
      <c r="W124" s="1102"/>
      <c r="X124" s="1121" t="s">
        <v>554</v>
      </c>
      <c r="Y124" s="1020"/>
      <c r="Z124" s="1020"/>
      <c r="EO124" s="251"/>
      <c r="EP124" s="251"/>
      <c r="EQ124" s="251"/>
      <c r="ER124" s="251"/>
      <c r="ES124" s="251"/>
      <c r="ET124" s="251"/>
      <c r="EU124" s="251"/>
      <c r="EV124" s="251"/>
      <c r="EW124" s="251"/>
    </row>
    <row r="125" spans="1:153" ht="4.5" customHeight="1" thickBot="1">
      <c r="F125" s="263"/>
      <c r="R125" s="328"/>
      <c r="T125" s="329"/>
      <c r="U125" s="329"/>
      <c r="V125" s="329"/>
      <c r="W125" s="329"/>
      <c r="X125" s="329"/>
      <c r="Y125" s="305"/>
      <c r="Z125" s="305"/>
      <c r="EO125" s="251"/>
      <c r="EP125" s="251"/>
      <c r="EQ125" s="251"/>
      <c r="ER125" s="251"/>
      <c r="ES125" s="251"/>
      <c r="ET125" s="251"/>
      <c r="EU125" s="251"/>
      <c r="EV125" s="251"/>
      <c r="EW125" s="251"/>
    </row>
    <row r="126" spans="1:153" ht="13.5" thickBot="1">
      <c r="F126" s="302" t="s">
        <v>547</v>
      </c>
      <c r="H126" s="811" t="str">
        <f>PROPOSITION!H80</f>
        <v xml:space="preserve"> </v>
      </c>
      <c r="I126" s="812"/>
      <c r="J126" s="813"/>
      <c r="N126" s="807">
        <f>PROPOSITION!N80</f>
        <v>0</v>
      </c>
      <c r="O126" s="808"/>
      <c r="P126" s="809"/>
      <c r="R126" s="407">
        <v>3.25</v>
      </c>
      <c r="T126" s="1100">
        <f>N126*R126/100</f>
        <v>0</v>
      </c>
      <c r="U126" s="1101"/>
      <c r="V126" s="1101"/>
      <c r="W126" s="1102"/>
      <c r="X126" s="1121" t="s">
        <v>554</v>
      </c>
      <c r="Y126" s="1020"/>
      <c r="Z126" s="1020"/>
      <c r="EO126" s="251"/>
      <c r="EP126" s="251"/>
      <c r="EQ126" s="251"/>
      <c r="ER126" s="251"/>
      <c r="ES126" s="251"/>
      <c r="ET126" s="251"/>
      <c r="EU126" s="251"/>
      <c r="EV126" s="251"/>
      <c r="EW126" s="251"/>
    </row>
    <row r="127" spans="1:153" ht="4.5" customHeight="1" thickBot="1">
      <c r="F127" s="263"/>
      <c r="I127" s="1022"/>
      <c r="J127" s="1022"/>
      <c r="K127" s="1022"/>
      <c r="R127" s="328"/>
      <c r="T127" s="329"/>
      <c r="U127" s="329"/>
      <c r="V127" s="329"/>
      <c r="W127" s="329"/>
      <c r="X127" s="329"/>
      <c r="Y127" s="305"/>
      <c r="Z127" s="305"/>
      <c r="EO127" s="251"/>
      <c r="EP127" s="251"/>
      <c r="EQ127" s="251"/>
      <c r="ER127" s="251"/>
      <c r="ES127" s="251"/>
      <c r="ET127" s="251"/>
      <c r="EU127" s="251"/>
      <c r="EV127" s="251"/>
      <c r="EW127" s="251"/>
    </row>
    <row r="128" spans="1:153" ht="13.5" thickBot="1">
      <c r="F128" s="302" t="s">
        <v>546</v>
      </c>
      <c r="H128" s="522" t="str">
        <f>PROPOSITION!H82</f>
        <v xml:space="preserve"> </v>
      </c>
      <c r="I128" s="523"/>
      <c r="J128" s="524"/>
      <c r="N128" s="807">
        <f>PROPOSITION!N82</f>
        <v>0</v>
      </c>
      <c r="O128" s="808"/>
      <c r="P128" s="809"/>
      <c r="R128" s="552">
        <v>3.25</v>
      </c>
      <c r="T128" s="1100">
        <f>N128*R128/100</f>
        <v>0</v>
      </c>
      <c r="U128" s="1101"/>
      <c r="V128" s="1101"/>
      <c r="W128" s="1102"/>
      <c r="X128" s="1121" t="s">
        <v>554</v>
      </c>
      <c r="Y128" s="1020"/>
      <c r="Z128" s="1020"/>
      <c r="EO128" s="251"/>
      <c r="EP128" s="251"/>
      <c r="EQ128" s="251"/>
      <c r="ER128" s="251"/>
      <c r="ES128" s="251"/>
      <c r="ET128" s="251"/>
      <c r="EU128" s="251"/>
      <c r="EV128" s="251"/>
      <c r="EW128" s="251"/>
    </row>
    <row r="129" spans="6:153" ht="0.75" customHeight="1">
      <c r="F129" s="263"/>
      <c r="R129" s="328"/>
      <c r="T129" s="329"/>
      <c r="U129" s="329"/>
      <c r="V129" s="329"/>
      <c r="W129" s="329"/>
      <c r="X129" s="329"/>
      <c r="Y129" s="553"/>
      <c r="Z129" s="553"/>
      <c r="EO129" s="251"/>
      <c r="EP129" s="251"/>
      <c r="EQ129" s="251"/>
      <c r="ER129" s="251"/>
      <c r="ES129" s="251"/>
      <c r="ET129" s="251"/>
      <c r="EU129" s="251"/>
      <c r="EV129" s="251"/>
      <c r="EW129" s="251"/>
    </row>
    <row r="130" spans="6:153" ht="14.25" hidden="1" customHeight="1" thickBot="1">
      <c r="F130" s="263" t="s">
        <v>156</v>
      </c>
      <c r="H130" s="1023" t="s">
        <v>157</v>
      </c>
      <c r="I130" s="1024"/>
      <c r="J130" s="1025"/>
      <c r="N130" s="1026">
        <f>AD258</f>
        <v>0</v>
      </c>
      <c r="O130" s="1024"/>
      <c r="P130" s="1025"/>
      <c r="R130" s="330" t="s">
        <v>2</v>
      </c>
      <c r="T130" s="1027">
        <v>0</v>
      </c>
      <c r="U130" s="1028"/>
      <c r="V130" s="1028"/>
      <c r="W130" s="1028"/>
      <c r="X130" s="327"/>
      <c r="Y130" s="553"/>
      <c r="Z130" s="553"/>
      <c r="EO130" s="251"/>
      <c r="EP130" s="251"/>
      <c r="EQ130" s="251"/>
      <c r="ER130" s="251"/>
      <c r="ES130" s="251"/>
      <c r="ET130" s="251"/>
      <c r="EU130" s="251"/>
      <c r="EV130" s="251"/>
      <c r="EW130" s="251"/>
    </row>
    <row r="131" spans="6:153" ht="2.25" customHeight="1">
      <c r="F131" s="263"/>
      <c r="R131" s="328"/>
      <c r="T131" s="329"/>
      <c r="U131" s="329"/>
      <c r="V131" s="329"/>
      <c r="W131" s="329"/>
      <c r="X131" s="329"/>
      <c r="Y131" s="553"/>
      <c r="Z131" s="553"/>
      <c r="EO131" s="251"/>
      <c r="EP131" s="251"/>
      <c r="EQ131" s="251"/>
      <c r="ER131" s="251"/>
      <c r="ES131" s="251"/>
      <c r="ET131" s="251"/>
      <c r="EU131" s="251"/>
      <c r="EV131" s="251"/>
      <c r="EW131" s="251"/>
    </row>
    <row r="132" spans="6:153" ht="1.5" customHeight="1">
      <c r="F132" s="263"/>
      <c r="R132" s="328"/>
      <c r="T132" s="329"/>
      <c r="U132" s="329"/>
      <c r="V132" s="329"/>
      <c r="W132" s="329"/>
      <c r="X132" s="329"/>
      <c r="Y132" s="553"/>
      <c r="Z132" s="553"/>
      <c r="EO132" s="251"/>
      <c r="EP132" s="251"/>
      <c r="EQ132" s="251"/>
      <c r="ER132" s="251"/>
      <c r="ES132" s="251"/>
      <c r="ET132" s="251"/>
      <c r="EU132" s="251"/>
      <c r="EV132" s="251"/>
      <c r="EW132" s="251"/>
    </row>
    <row r="133" spans="6:153" ht="0.75" customHeight="1" thickBot="1">
      <c r="F133" s="263"/>
      <c r="R133" s="328"/>
      <c r="T133" s="329"/>
      <c r="U133" s="329"/>
      <c r="V133" s="329"/>
      <c r="W133" s="329"/>
      <c r="X133" s="329"/>
      <c r="Y133" s="553"/>
      <c r="Z133" s="553"/>
      <c r="EO133" s="251"/>
      <c r="EP133" s="251"/>
      <c r="EQ133" s="251"/>
      <c r="ER133" s="251"/>
      <c r="ES133" s="251"/>
      <c r="ET133" s="251"/>
      <c r="EU133" s="251"/>
      <c r="EV133" s="251"/>
      <c r="EW133" s="251"/>
    </row>
    <row r="134" spans="6:153" ht="13.5" thickBot="1">
      <c r="F134" s="302" t="s">
        <v>411</v>
      </c>
      <c r="G134" s="554" t="s">
        <v>2</v>
      </c>
      <c r="H134" s="1120" t="str">
        <f>PROPOSITION!H84</f>
        <v xml:space="preserve"> </v>
      </c>
      <c r="I134" s="812"/>
      <c r="J134" s="813"/>
      <c r="K134" s="554"/>
      <c r="L134" s="554"/>
      <c r="N134" s="807">
        <f>PROPOSITION!N84</f>
        <v>0</v>
      </c>
      <c r="O134" s="808"/>
      <c r="P134" s="809"/>
      <c r="R134" s="407">
        <v>0.65</v>
      </c>
      <c r="T134" s="1100">
        <f>N134*R134/100</f>
        <v>0</v>
      </c>
      <c r="U134" s="1101"/>
      <c r="V134" s="1101"/>
      <c r="W134" s="1102"/>
      <c r="X134" s="256"/>
      <c r="Y134" s="1020" t="s">
        <v>480</v>
      </c>
      <c r="Z134" s="1021"/>
      <c r="AC134" s="630" t="s">
        <v>2</v>
      </c>
      <c r="EO134" s="251"/>
      <c r="EP134" s="251"/>
      <c r="EQ134" s="251"/>
      <c r="ER134" s="251"/>
      <c r="ES134" s="251"/>
      <c r="ET134" s="251"/>
      <c r="EU134" s="251"/>
      <c r="EV134" s="251"/>
      <c r="EW134" s="251"/>
    </row>
    <row r="135" spans="6:153" ht="3" customHeight="1">
      <c r="F135" s="421"/>
      <c r="R135" s="328"/>
      <c r="T135" s="329"/>
      <c r="U135" s="329"/>
      <c r="V135" s="329"/>
      <c r="W135" s="329"/>
      <c r="X135" s="329"/>
      <c r="Y135" s="553"/>
      <c r="Z135" s="553"/>
      <c r="EO135" s="251"/>
      <c r="EP135" s="251"/>
      <c r="EQ135" s="251"/>
      <c r="ER135" s="251"/>
      <c r="ES135" s="251"/>
      <c r="ET135" s="251"/>
      <c r="EU135" s="251"/>
      <c r="EV135" s="251"/>
      <c r="EW135" s="251"/>
    </row>
    <row r="136" spans="6:153" ht="3" customHeight="1">
      <c r="F136" s="302" t="s">
        <v>412</v>
      </c>
      <c r="O136" s="282" t="s">
        <v>2</v>
      </c>
      <c r="R136" s="331" t="s">
        <v>2</v>
      </c>
      <c r="T136" s="329"/>
      <c r="U136" s="329" t="s">
        <v>2</v>
      </c>
      <c r="V136" s="332" t="s">
        <v>2</v>
      </c>
      <c r="W136" s="329" t="s">
        <v>2</v>
      </c>
      <c r="X136" s="329"/>
      <c r="Y136" s="553"/>
      <c r="Z136" s="553"/>
      <c r="EO136" s="251"/>
      <c r="EP136" s="251"/>
      <c r="EQ136" s="251"/>
      <c r="ER136" s="251"/>
      <c r="ES136" s="251"/>
      <c r="ET136" s="251"/>
      <c r="EU136" s="251"/>
      <c r="EV136" s="251"/>
      <c r="EW136" s="251"/>
    </row>
    <row r="137" spans="6:153" ht="0.75" customHeight="1" thickBot="1">
      <c r="H137" s="245" t="s">
        <v>2</v>
      </c>
      <c r="I137" s="273" t="s">
        <v>2</v>
      </c>
      <c r="R137" s="328"/>
      <c r="T137" s="329"/>
      <c r="U137" s="329"/>
      <c r="V137" s="329"/>
      <c r="W137" s="329"/>
      <c r="X137" s="329"/>
      <c r="Y137" s="553"/>
      <c r="Z137" s="553"/>
      <c r="EO137" s="251"/>
      <c r="EP137" s="251"/>
      <c r="EQ137" s="251"/>
      <c r="ER137" s="251"/>
      <c r="ES137" s="251"/>
      <c r="ET137" s="251"/>
      <c r="EU137" s="251"/>
      <c r="EV137" s="251"/>
      <c r="EW137" s="251"/>
    </row>
    <row r="138" spans="6:153" ht="13.5" thickBot="1">
      <c r="F138" s="302" t="s">
        <v>553</v>
      </c>
      <c r="H138" s="873" t="str">
        <f>PROPOSITION!H86</f>
        <v xml:space="preserve"> </v>
      </c>
      <c r="I138" s="874"/>
      <c r="J138" s="875"/>
      <c r="N138" s="807">
        <f>PROPOSITION!N86</f>
        <v>0</v>
      </c>
      <c r="O138" s="808"/>
      <c r="P138" s="809"/>
      <c r="R138" s="406">
        <v>0.35</v>
      </c>
      <c r="T138" s="1100">
        <f>N138*R138/100</f>
        <v>0</v>
      </c>
      <c r="U138" s="1101"/>
      <c r="V138" s="1101"/>
      <c r="W138" s="1102"/>
      <c r="X138" s="256"/>
      <c r="Y138" s="1020" t="s">
        <v>480</v>
      </c>
      <c r="Z138" s="1021"/>
      <c r="EO138" s="251"/>
      <c r="EP138" s="251"/>
      <c r="EQ138" s="251"/>
      <c r="ER138" s="251"/>
      <c r="ES138" s="251"/>
      <c r="ET138" s="251"/>
      <c r="EU138" s="251"/>
      <c r="EV138" s="251"/>
      <c r="EW138" s="251"/>
    </row>
    <row r="139" spans="6:153" ht="4.5" customHeight="1" thickBot="1">
      <c r="F139" s="263"/>
      <c r="R139" s="328"/>
      <c r="T139" s="329"/>
      <c r="U139" s="329"/>
      <c r="V139" s="329"/>
      <c r="W139" s="329"/>
      <c r="X139" s="329"/>
      <c r="Y139" s="553"/>
      <c r="Z139" s="553"/>
      <c r="EO139" s="251"/>
      <c r="EP139" s="251"/>
      <c r="EQ139" s="251"/>
      <c r="ER139" s="251"/>
      <c r="ES139" s="251"/>
      <c r="ET139" s="251"/>
      <c r="EU139" s="251"/>
      <c r="EV139" s="251"/>
      <c r="EW139" s="251"/>
    </row>
    <row r="140" spans="6:153" ht="13.5" thickBot="1">
      <c r="F140" s="263" t="s">
        <v>413</v>
      </c>
      <c r="H140" s="1093" t="s">
        <v>452</v>
      </c>
      <c r="I140" s="1094"/>
      <c r="J140" s="1095"/>
      <c r="N140" s="807">
        <f>PROPOSITION!N88</f>
        <v>0</v>
      </c>
      <c r="O140" s="808"/>
      <c r="P140" s="809"/>
      <c r="R140" s="406">
        <v>0.5</v>
      </c>
      <c r="T140" s="1100">
        <f>N140*R140/100</f>
        <v>0</v>
      </c>
      <c r="U140" s="1101"/>
      <c r="V140" s="1101"/>
      <c r="W140" s="1102"/>
      <c r="X140" s="256"/>
      <c r="Y140" s="1020" t="s">
        <v>480</v>
      </c>
      <c r="Z140" s="1021"/>
      <c r="AC140" s="681"/>
      <c r="EO140" s="251"/>
      <c r="EP140" s="251"/>
      <c r="EQ140" s="251"/>
      <c r="ER140" s="251"/>
      <c r="ES140" s="251"/>
      <c r="ET140" s="251"/>
      <c r="EU140" s="251"/>
      <c r="EV140" s="251"/>
      <c r="EW140" s="251"/>
    </row>
    <row r="141" spans="6:153" ht="6.75" customHeight="1" thickBot="1">
      <c r="T141" s="329"/>
      <c r="U141" s="329"/>
      <c r="V141" s="329"/>
      <c r="W141" s="329"/>
      <c r="X141" s="329"/>
      <c r="Y141" s="553"/>
      <c r="Z141" s="553"/>
      <c r="AC141" s="681"/>
      <c r="EO141" s="251"/>
      <c r="EP141" s="251"/>
      <c r="EQ141" s="251"/>
      <c r="ER141" s="251"/>
      <c r="ES141" s="251"/>
      <c r="ET141" s="251"/>
      <c r="EU141" s="251"/>
      <c r="EV141" s="251"/>
      <c r="EW141" s="251"/>
    </row>
    <row r="142" spans="6:153" ht="13.5" customHeight="1" thickBot="1">
      <c r="F142" s="572" t="s">
        <v>465</v>
      </c>
      <c r="N142" s="807">
        <f>IF(T144=20,50000,100000)</f>
        <v>50000</v>
      </c>
      <c r="O142" s="808"/>
      <c r="P142" s="809"/>
      <c r="S142" s="302" t="s">
        <v>2</v>
      </c>
      <c r="T142" s="1132">
        <f>AC149</f>
        <v>20</v>
      </c>
      <c r="U142" s="1133"/>
      <c r="V142" s="1133"/>
      <c r="W142" s="1134"/>
      <c r="X142" s="329"/>
      <c r="Y142" s="1018" t="s">
        <v>463</v>
      </c>
      <c r="Z142" s="1018"/>
      <c r="AC142" s="681" t="s">
        <v>2</v>
      </c>
      <c r="EO142" s="251"/>
      <c r="EP142" s="251"/>
      <c r="EQ142" s="251"/>
      <c r="ER142" s="251"/>
      <c r="ES142" s="251"/>
      <c r="ET142" s="251"/>
      <c r="EU142" s="251"/>
      <c r="EV142" s="251"/>
      <c r="EW142" s="251"/>
    </row>
    <row r="143" spans="6:153" ht="12.75" customHeight="1" thickBot="1">
      <c r="L143" s="551"/>
      <c r="T143" s="329"/>
      <c r="U143" s="329"/>
      <c r="V143" s="329"/>
      <c r="W143" s="329"/>
      <c r="X143" s="329"/>
      <c r="Z143" s="571">
        <v>0</v>
      </c>
      <c r="AC143" s="681"/>
      <c r="EO143" s="251"/>
      <c r="EP143" s="251"/>
      <c r="EQ143" s="251"/>
      <c r="ER143" s="251"/>
      <c r="ES143" s="251"/>
      <c r="ET143" s="251"/>
      <c r="EU143" s="251"/>
      <c r="EV143" s="251"/>
      <c r="EW143" s="251"/>
    </row>
    <row r="144" spans="6:153" ht="17.25" customHeight="1" thickBot="1">
      <c r="F144" s="333"/>
      <c r="S144" s="302" t="s">
        <v>464</v>
      </c>
      <c r="T144" s="1122">
        <f>Y144+T142</f>
        <v>20</v>
      </c>
      <c r="U144" s="1135"/>
      <c r="V144" s="1135"/>
      <c r="W144" s="1135"/>
      <c r="X144" s="1123"/>
      <c r="Y144" s="575">
        <f>SUM(T120,T122,T124,T126,T128,T134,T138,T140)</f>
        <v>0</v>
      </c>
      <c r="AC144" s="682">
        <f>Y144+Y50+'RESPONSABILITE CIVILE'!G29+Z143</f>
        <v>1.2500000000000002E-9</v>
      </c>
      <c r="EO144" s="251"/>
      <c r="EP144" s="251"/>
      <c r="EQ144" s="251"/>
      <c r="ER144" s="251"/>
      <c r="ES144" s="251"/>
      <c r="ET144" s="251"/>
      <c r="EU144" s="251"/>
      <c r="EV144" s="251"/>
      <c r="EW144" s="251"/>
    </row>
    <row r="145" spans="1:153" s="256" customFormat="1" ht="6.75" customHeight="1">
      <c r="A145" s="244"/>
      <c r="T145" s="334"/>
      <c r="U145" s="334"/>
      <c r="V145" s="334"/>
      <c r="W145" s="334"/>
      <c r="X145" s="334"/>
      <c r="AB145" s="629"/>
      <c r="AC145" s="683"/>
      <c r="AD145" s="247"/>
      <c r="AE145" s="247"/>
      <c r="AF145" s="247"/>
      <c r="AG145" s="248"/>
      <c r="AH145" s="249"/>
      <c r="AI145" s="249"/>
      <c r="AJ145" s="249"/>
      <c r="AK145" s="249"/>
      <c r="AL145" s="249"/>
      <c r="AM145" s="249"/>
      <c r="AN145" s="248"/>
      <c r="AO145" s="248"/>
      <c r="AP145" s="248"/>
      <c r="AQ145" s="248"/>
      <c r="AR145" s="248"/>
      <c r="AS145" s="248"/>
      <c r="AT145" s="248"/>
      <c r="AU145" s="248"/>
      <c r="AV145" s="248"/>
      <c r="AW145" s="248"/>
      <c r="AX145" s="248"/>
      <c r="AY145" s="248"/>
      <c r="AZ145" s="248"/>
      <c r="BA145" s="248"/>
      <c r="BB145" s="248"/>
      <c r="BC145" s="248"/>
      <c r="BD145" s="250"/>
      <c r="BE145" s="250"/>
      <c r="BF145" s="250"/>
      <c r="BG145" s="250"/>
      <c r="BH145" s="250"/>
      <c r="BI145" s="250"/>
      <c r="BJ145" s="250"/>
      <c r="BK145" s="250"/>
      <c r="BL145" s="250"/>
      <c r="BM145" s="250"/>
      <c r="BN145" s="250"/>
      <c r="BO145" s="250"/>
      <c r="BP145" s="250"/>
      <c r="BQ145" s="250"/>
      <c r="BR145" s="250"/>
      <c r="BS145" s="250"/>
      <c r="BT145" s="250"/>
      <c r="BU145" s="251"/>
      <c r="BV145" s="251"/>
      <c r="BW145" s="251"/>
      <c r="BX145" s="251"/>
      <c r="BY145" s="251"/>
      <c r="BZ145" s="251"/>
      <c r="CA145" s="251"/>
      <c r="CB145" s="251"/>
      <c r="CC145" s="251"/>
      <c r="CD145" s="251"/>
      <c r="CE145" s="251"/>
      <c r="CF145" s="251"/>
      <c r="CG145" s="251"/>
      <c r="CH145" s="251"/>
      <c r="CI145" s="251"/>
      <c r="CJ145" s="251"/>
      <c r="CK145" s="251"/>
      <c r="CL145" s="251"/>
      <c r="CM145" s="251"/>
      <c r="CN145" s="251"/>
      <c r="CO145" s="251"/>
      <c r="CP145" s="251"/>
      <c r="CQ145" s="251"/>
      <c r="CR145" s="251"/>
      <c r="CS145" s="251"/>
      <c r="CT145" s="251"/>
      <c r="CU145" s="251"/>
      <c r="CV145" s="251"/>
      <c r="CW145" s="251"/>
      <c r="CX145" s="251"/>
      <c r="CY145" s="251"/>
      <c r="CZ145" s="251"/>
      <c r="DA145" s="251"/>
      <c r="DB145" s="251"/>
      <c r="DC145" s="251"/>
      <c r="DD145" s="251"/>
      <c r="DE145" s="251"/>
      <c r="DF145" s="251"/>
      <c r="DG145" s="251"/>
      <c r="DH145" s="251"/>
      <c r="DI145" s="251"/>
      <c r="DJ145" s="251"/>
      <c r="DK145" s="251"/>
      <c r="DL145" s="251"/>
      <c r="DM145" s="251"/>
      <c r="DN145" s="251"/>
      <c r="DO145" s="251"/>
      <c r="DP145" s="251"/>
      <c r="DQ145" s="251"/>
      <c r="DR145" s="251"/>
      <c r="DS145" s="251"/>
      <c r="DT145" s="251"/>
      <c r="DU145" s="251"/>
      <c r="DV145" s="251"/>
      <c r="DW145" s="251"/>
      <c r="DX145" s="251"/>
      <c r="DY145" s="251"/>
      <c r="DZ145" s="251"/>
      <c r="EA145" s="251"/>
      <c r="EB145" s="251"/>
      <c r="EC145" s="251"/>
      <c r="ED145" s="251"/>
      <c r="EE145" s="251"/>
      <c r="EF145" s="251"/>
      <c r="EG145" s="251"/>
      <c r="EH145" s="251"/>
      <c r="EI145" s="251"/>
      <c r="EJ145" s="251"/>
      <c r="EK145" s="251"/>
      <c r="EL145" s="251"/>
      <c r="EM145" s="251"/>
      <c r="EN145" s="251"/>
      <c r="EO145" s="251"/>
      <c r="EP145" s="251"/>
      <c r="EQ145" s="251"/>
      <c r="ER145" s="251"/>
      <c r="ES145" s="251"/>
      <c r="ET145" s="251"/>
      <c r="EU145" s="251"/>
      <c r="EV145" s="251"/>
      <c r="EW145" s="251"/>
    </row>
    <row r="146" spans="1:153" s="261" customFormat="1" ht="22.5" customHeight="1" thickBot="1">
      <c r="A146" s="303"/>
      <c r="AB146" s="638"/>
      <c r="AC146" s="683">
        <f>IF(AC144&lt;1000,20,0)</f>
        <v>20</v>
      </c>
      <c r="AD146" s="247"/>
      <c r="AE146" s="247"/>
      <c r="AF146" s="247"/>
      <c r="AG146" s="248"/>
      <c r="AH146" s="249"/>
      <c r="AI146" s="249"/>
      <c r="AJ146" s="249"/>
      <c r="AK146" s="249"/>
      <c r="AL146" s="249"/>
      <c r="AM146" s="249"/>
      <c r="AN146" s="248"/>
      <c r="AO146" s="248"/>
      <c r="AP146" s="248"/>
      <c r="AQ146" s="248"/>
      <c r="AR146" s="248"/>
      <c r="AS146" s="248"/>
      <c r="AT146" s="248"/>
      <c r="AU146" s="248"/>
      <c r="AV146" s="248"/>
      <c r="AW146" s="248"/>
      <c r="AX146" s="248"/>
      <c r="AY146" s="248"/>
      <c r="AZ146" s="248"/>
      <c r="BA146" s="248"/>
      <c r="BB146" s="248"/>
      <c r="BC146" s="248"/>
      <c r="BD146" s="250"/>
      <c r="BE146" s="250"/>
      <c r="BF146" s="250"/>
      <c r="BG146" s="250"/>
      <c r="BH146" s="250"/>
      <c r="BI146" s="250"/>
      <c r="BJ146" s="250"/>
      <c r="BK146" s="250"/>
      <c r="BL146" s="250"/>
      <c r="BM146" s="250"/>
      <c r="BN146" s="250"/>
      <c r="BO146" s="250"/>
      <c r="BP146" s="250"/>
      <c r="BQ146" s="250"/>
      <c r="BR146" s="250"/>
      <c r="BS146" s="250"/>
      <c r="BT146" s="250"/>
      <c r="BU146" s="251"/>
      <c r="BV146" s="251"/>
      <c r="BW146" s="251"/>
      <c r="BX146" s="251"/>
      <c r="BY146" s="251"/>
      <c r="BZ146" s="251"/>
      <c r="CA146" s="251"/>
      <c r="CB146" s="251"/>
      <c r="CC146" s="251"/>
      <c r="CD146" s="251"/>
      <c r="CE146" s="251"/>
      <c r="CF146" s="251"/>
      <c r="CG146" s="251"/>
      <c r="CH146" s="251"/>
      <c r="CI146" s="251"/>
      <c r="CJ146" s="251"/>
      <c r="CK146" s="251"/>
      <c r="CL146" s="251"/>
      <c r="CM146" s="251"/>
      <c r="CN146" s="251"/>
      <c r="CO146" s="251"/>
      <c r="CP146" s="251"/>
      <c r="CQ146" s="251"/>
      <c r="CR146" s="251"/>
      <c r="CS146" s="251"/>
      <c r="CT146" s="251"/>
      <c r="CU146" s="251"/>
      <c r="CV146" s="251"/>
      <c r="CW146" s="251"/>
      <c r="CX146" s="251"/>
      <c r="CY146" s="251"/>
      <c r="CZ146" s="251"/>
      <c r="DA146" s="251"/>
      <c r="DB146" s="251"/>
      <c r="DC146" s="251"/>
      <c r="DD146" s="251"/>
      <c r="DE146" s="251"/>
      <c r="DF146" s="251"/>
      <c r="DG146" s="251"/>
      <c r="DH146" s="251"/>
      <c r="DI146" s="251"/>
      <c r="DJ146" s="251"/>
      <c r="DK146" s="251"/>
      <c r="DL146" s="251"/>
      <c r="DM146" s="251"/>
      <c r="DN146" s="251"/>
      <c r="DO146" s="251"/>
      <c r="DP146" s="251"/>
      <c r="DQ146" s="251"/>
      <c r="DR146" s="251"/>
      <c r="DS146" s="251"/>
      <c r="DT146" s="251"/>
      <c r="DU146" s="251"/>
      <c r="DV146" s="251"/>
      <c r="DW146" s="251"/>
      <c r="DX146" s="251"/>
      <c r="DY146" s="251"/>
      <c r="DZ146" s="251"/>
      <c r="EA146" s="251"/>
      <c r="EB146" s="251"/>
      <c r="EC146" s="251"/>
      <c r="ED146" s="251"/>
      <c r="EE146" s="251"/>
      <c r="EF146" s="251"/>
      <c r="EG146" s="251"/>
      <c r="EH146" s="251"/>
      <c r="EI146" s="251"/>
      <c r="EJ146" s="251"/>
      <c r="EK146" s="251"/>
      <c r="EL146" s="251"/>
      <c r="EM146" s="251"/>
      <c r="EN146" s="251"/>
      <c r="EO146" s="251"/>
      <c r="EP146" s="251"/>
      <c r="EQ146" s="251"/>
      <c r="ER146" s="251"/>
      <c r="ES146" s="251"/>
      <c r="ET146" s="251"/>
      <c r="EU146" s="251"/>
      <c r="EV146" s="251"/>
      <c r="EW146" s="251"/>
    </row>
    <row r="147" spans="1:153" ht="41.25">
      <c r="B147" s="555" t="s">
        <v>453</v>
      </c>
      <c r="AC147" s="683" t="b">
        <f>IF(AC144&gt;999,MAX(AC144*0.03,100))</f>
        <v>0</v>
      </c>
      <c r="EO147" s="251"/>
      <c r="EP147" s="251"/>
      <c r="EQ147" s="251"/>
      <c r="ER147" s="251"/>
      <c r="ES147" s="251"/>
      <c r="ET147" s="251"/>
      <c r="EU147" s="251"/>
      <c r="EV147" s="251"/>
      <c r="EW147" s="251"/>
    </row>
    <row r="148" spans="1:153" ht="9" customHeight="1" thickBot="1">
      <c r="AC148" s="683">
        <f>SUM(AC146,AC147)</f>
        <v>20</v>
      </c>
      <c r="EO148" s="251"/>
      <c r="EP148" s="251"/>
      <c r="EQ148" s="251"/>
      <c r="ER148" s="251"/>
      <c r="ES148" s="251"/>
      <c r="ET148" s="251"/>
      <c r="EU148" s="251"/>
      <c r="EV148" s="251"/>
      <c r="EW148" s="251"/>
    </row>
    <row r="149" spans="1:153" ht="21" customHeight="1" thickBot="1">
      <c r="B149" s="1086" t="s">
        <v>649</v>
      </c>
      <c r="C149" s="1086"/>
      <c r="D149" s="1086"/>
      <c r="E149" s="1086"/>
      <c r="F149" s="1086"/>
      <c r="G149" s="1087"/>
      <c r="H149" s="1127">
        <f>MAX(SUM(T144,Y50),750)</f>
        <v>750</v>
      </c>
      <c r="I149" s="1128"/>
      <c r="J149" s="1128"/>
      <c r="K149" s="1129"/>
      <c r="M149" s="335" t="s">
        <v>2</v>
      </c>
      <c r="N149" s="335"/>
      <c r="O149" s="834"/>
      <c r="P149" s="834"/>
      <c r="Q149" s="834"/>
      <c r="R149" s="834"/>
      <c r="S149" s="834"/>
      <c r="T149" s="834"/>
      <c r="U149" s="834"/>
      <c r="V149" s="834"/>
      <c r="W149" s="834"/>
      <c r="X149" s="834"/>
      <c r="Y149" s="834"/>
      <c r="AC149" s="683">
        <f>AC148</f>
        <v>20</v>
      </c>
    </row>
    <row r="150" spans="1:153" ht="9" customHeight="1" thickBot="1">
      <c r="B150" s="556"/>
      <c r="C150" s="556"/>
      <c r="D150" s="556"/>
      <c r="E150" s="556"/>
      <c r="F150" s="556"/>
      <c r="G150" s="557"/>
      <c r="H150" s="337"/>
      <c r="I150" s="337"/>
      <c r="J150" s="337"/>
      <c r="K150" s="337"/>
      <c r="T150" s="338"/>
      <c r="U150" s="338"/>
      <c r="V150" s="338"/>
      <c r="W150" s="338"/>
      <c r="X150" s="338"/>
      <c r="AC150" s="683"/>
    </row>
    <row r="151" spans="1:153" ht="17.25" customHeight="1" thickBot="1">
      <c r="B151" s="1086" t="s">
        <v>454</v>
      </c>
      <c r="C151" s="1086"/>
      <c r="D151" s="1086"/>
      <c r="E151" s="1086"/>
      <c r="F151" s="1086"/>
      <c r="G151" s="1087"/>
      <c r="H151" s="1124">
        <f>MAX(100,(ROUNDUP(H149*0.05,-1)))</f>
        <v>100</v>
      </c>
      <c r="I151" s="1125"/>
      <c r="J151" s="1125"/>
      <c r="K151" s="1126"/>
      <c r="N151" s="336"/>
      <c r="O151" s="336"/>
      <c r="P151" s="336"/>
      <c r="Q151" s="336"/>
      <c r="R151" s="336"/>
      <c r="S151" s="336"/>
      <c r="T151" s="336"/>
      <c r="U151" s="336"/>
      <c r="V151" s="336"/>
      <c r="W151" s="336"/>
      <c r="X151" s="336"/>
      <c r="Y151" s="336"/>
      <c r="Z151" s="336"/>
      <c r="AA151" s="336"/>
      <c r="AC151" s="683"/>
      <c r="AD151" s="339"/>
      <c r="AE151" s="339"/>
      <c r="AF151" s="339"/>
    </row>
    <row r="152" spans="1:153" ht="3" customHeight="1">
      <c r="B152" s="558"/>
      <c r="C152" s="342"/>
      <c r="D152" s="342"/>
      <c r="E152" s="342"/>
      <c r="F152" s="342"/>
      <c r="G152" s="342"/>
      <c r="H152" s="340"/>
      <c r="I152" s="340"/>
      <c r="J152" s="340"/>
      <c r="K152" s="340"/>
      <c r="N152" s="336"/>
      <c r="O152" s="336"/>
      <c r="P152" s="336"/>
      <c r="Q152" s="336"/>
      <c r="R152" s="336"/>
      <c r="S152" s="336"/>
      <c r="T152" s="336"/>
      <c r="U152" s="336"/>
      <c r="V152" s="336"/>
      <c r="W152" s="336"/>
      <c r="X152" s="336"/>
      <c r="Y152" s="336"/>
      <c r="Z152" s="336"/>
      <c r="AA152" s="336"/>
      <c r="AC152" s="683"/>
      <c r="AD152" s="339"/>
      <c r="AE152" s="339"/>
      <c r="AF152" s="339"/>
    </row>
    <row r="153" spans="1:153" ht="8.25" customHeight="1">
      <c r="B153" s="1086"/>
      <c r="C153" s="1086"/>
      <c r="D153" s="1086"/>
      <c r="E153" s="1086"/>
      <c r="F153" s="1086"/>
      <c r="G153" s="1088"/>
      <c r="H153" s="1006"/>
      <c r="I153" s="1006"/>
      <c r="J153" s="1006"/>
      <c r="K153" s="1006"/>
      <c r="N153" s="336"/>
      <c r="O153" s="336"/>
      <c r="P153" s="336"/>
      <c r="Q153" s="336"/>
      <c r="R153" s="336"/>
      <c r="S153" s="336"/>
      <c r="T153" s="336"/>
      <c r="U153" s="336"/>
      <c r="V153" s="336"/>
      <c r="W153" s="336"/>
      <c r="X153" s="336"/>
      <c r="Y153" s="336"/>
      <c r="Z153" s="336"/>
      <c r="AA153" s="336"/>
      <c r="AC153" s="683"/>
      <c r="AD153" s="339"/>
      <c r="AE153" s="339"/>
      <c r="AF153" s="339"/>
    </row>
    <row r="154" spans="1:153" ht="9" customHeight="1" thickBot="1">
      <c r="B154" s="558"/>
      <c r="C154" s="342"/>
      <c r="D154" s="342"/>
      <c r="E154" s="342"/>
      <c r="F154" s="342"/>
      <c r="G154" s="342"/>
      <c r="H154" s="341"/>
      <c r="I154" s="341"/>
      <c r="J154" s="341"/>
      <c r="K154" s="341"/>
      <c r="N154" s="336"/>
      <c r="O154" s="336"/>
      <c r="P154" s="336"/>
      <c r="Q154" s="336"/>
      <c r="R154" s="336"/>
      <c r="S154" s="336"/>
      <c r="T154" s="336"/>
      <c r="U154" s="336"/>
      <c r="V154" s="336"/>
      <c r="W154" s="336"/>
      <c r="X154" s="336"/>
      <c r="Y154" s="336"/>
      <c r="Z154" s="336"/>
      <c r="AA154" s="336"/>
      <c r="AC154" s="683"/>
      <c r="AD154" s="339"/>
      <c r="AE154" s="339"/>
      <c r="AF154" s="339"/>
    </row>
    <row r="155" spans="1:153" ht="21" customHeight="1" thickBot="1">
      <c r="B155" s="1115" t="s">
        <v>48</v>
      </c>
      <c r="C155" s="1115"/>
      <c r="D155" s="1115"/>
      <c r="E155" s="1115"/>
      <c r="F155" s="1115"/>
      <c r="G155" s="1116"/>
      <c r="H155" s="1117">
        <f>SUM(H149,H151,H153)</f>
        <v>850</v>
      </c>
      <c r="I155" s="1118"/>
      <c r="J155" s="1118"/>
      <c r="K155" s="1119"/>
      <c r="L155" s="342"/>
      <c r="M155" s="342"/>
      <c r="N155" s="460" t="s">
        <v>2</v>
      </c>
      <c r="O155" s="336"/>
      <c r="P155" s="336"/>
      <c r="Q155" s="336"/>
      <c r="R155" s="336"/>
      <c r="S155" s="336"/>
      <c r="T155" s="336"/>
      <c r="U155" s="336"/>
      <c r="V155" s="336"/>
      <c r="W155" s="336"/>
      <c r="X155" s="336"/>
      <c r="Y155" s="336"/>
      <c r="Z155" s="336"/>
      <c r="AA155" s="336"/>
      <c r="AC155" s="683"/>
      <c r="AD155" s="339"/>
      <c r="AE155" s="339"/>
      <c r="AF155" s="339"/>
    </row>
    <row r="156" spans="1:153" s="354" customFormat="1" ht="12.75" customHeight="1">
      <c r="A156" s="343"/>
      <c r="B156" s="344"/>
      <c r="C156" s="345"/>
      <c r="D156" s="345"/>
      <c r="E156" s="345"/>
      <c r="F156" s="345"/>
      <c r="G156" s="345"/>
      <c r="H156" s="346"/>
      <c r="I156" s="346"/>
      <c r="J156" s="346"/>
      <c r="K156" s="346"/>
      <c r="L156" s="345"/>
      <c r="M156" s="345"/>
      <c r="N156" s="347"/>
      <c r="O156" s="347"/>
      <c r="P156" s="347"/>
      <c r="Q156" s="347"/>
      <c r="R156" s="347"/>
      <c r="S156" s="347"/>
      <c r="T156" s="347"/>
      <c r="U156" s="347"/>
      <c r="V156" s="347"/>
      <c r="W156" s="347"/>
      <c r="X156" s="347"/>
      <c r="Y156" s="347"/>
      <c r="Z156" s="347"/>
      <c r="AA156" s="347"/>
      <c r="AB156" s="685"/>
      <c r="AC156" s="683"/>
      <c r="AD156" s="348"/>
      <c r="AE156" s="348"/>
      <c r="AF156" s="348"/>
      <c r="AG156" s="349"/>
      <c r="AH156" s="350"/>
      <c r="AI156" s="350"/>
      <c r="AJ156" s="350"/>
      <c r="AK156" s="350"/>
      <c r="AL156" s="350"/>
      <c r="AM156" s="350"/>
      <c r="AN156" s="349"/>
      <c r="AO156" s="349"/>
      <c r="AP156" s="349"/>
      <c r="AQ156" s="349"/>
      <c r="AR156" s="349"/>
      <c r="AS156" s="349"/>
      <c r="AT156" s="349"/>
      <c r="AU156" s="349"/>
      <c r="AV156" s="349"/>
      <c r="AW156" s="349"/>
      <c r="AX156" s="349"/>
      <c r="AY156" s="349"/>
      <c r="AZ156" s="349"/>
      <c r="BA156" s="349"/>
      <c r="BB156" s="349"/>
      <c r="BC156" s="349"/>
      <c r="BD156" s="351"/>
      <c r="BE156" s="351"/>
      <c r="BF156" s="351"/>
      <c r="BG156" s="351"/>
      <c r="BH156" s="351"/>
      <c r="BI156" s="351"/>
      <c r="BJ156" s="351"/>
      <c r="BK156" s="351"/>
      <c r="BL156" s="351"/>
      <c r="BM156" s="351"/>
      <c r="BN156" s="351"/>
      <c r="BO156" s="351"/>
      <c r="BP156" s="351"/>
      <c r="BQ156" s="351"/>
      <c r="BR156" s="351"/>
      <c r="BS156" s="351"/>
      <c r="BT156" s="351"/>
      <c r="BU156" s="352"/>
      <c r="BV156" s="352"/>
      <c r="BW156" s="352"/>
      <c r="BX156" s="352"/>
      <c r="BY156" s="352"/>
      <c r="BZ156" s="352"/>
      <c r="CA156" s="352"/>
      <c r="CB156" s="352"/>
      <c r="CC156" s="352"/>
      <c r="CD156" s="352"/>
      <c r="CE156" s="352"/>
      <c r="CF156" s="352"/>
      <c r="CG156" s="352"/>
      <c r="CH156" s="352"/>
      <c r="CI156" s="352"/>
      <c r="CJ156" s="352"/>
      <c r="CK156" s="352"/>
      <c r="CL156" s="352"/>
      <c r="CM156" s="352"/>
      <c r="CN156" s="352"/>
      <c r="CO156" s="352"/>
      <c r="CP156" s="352"/>
      <c r="CQ156" s="352"/>
      <c r="CR156" s="352"/>
      <c r="CS156" s="352"/>
      <c r="CT156" s="352"/>
      <c r="CU156" s="352"/>
      <c r="CV156" s="352"/>
      <c r="CW156" s="352"/>
      <c r="CX156" s="352"/>
      <c r="CY156" s="352"/>
      <c r="CZ156" s="352"/>
      <c r="DA156" s="352"/>
      <c r="DB156" s="352"/>
      <c r="DC156" s="352"/>
      <c r="DD156" s="352"/>
      <c r="DE156" s="352"/>
      <c r="DF156" s="352"/>
      <c r="DG156" s="352"/>
      <c r="DH156" s="352"/>
      <c r="DI156" s="352"/>
      <c r="DJ156" s="352"/>
      <c r="DK156" s="352"/>
      <c r="DL156" s="352"/>
      <c r="DM156" s="352"/>
      <c r="DN156" s="352"/>
      <c r="DO156" s="352"/>
      <c r="DP156" s="352"/>
      <c r="DQ156" s="352"/>
      <c r="DR156" s="352"/>
      <c r="DS156" s="352"/>
      <c r="DT156" s="352"/>
      <c r="DU156" s="352"/>
      <c r="DV156" s="352"/>
      <c r="DW156" s="352"/>
      <c r="DX156" s="352"/>
      <c r="DY156" s="352"/>
      <c r="DZ156" s="352"/>
      <c r="EA156" s="352"/>
      <c r="EB156" s="352"/>
      <c r="EC156" s="352"/>
      <c r="ED156" s="352"/>
      <c r="EE156" s="352"/>
      <c r="EF156" s="352"/>
      <c r="EG156" s="352"/>
      <c r="EH156" s="352"/>
      <c r="EI156" s="352"/>
      <c r="EJ156" s="352"/>
      <c r="EK156" s="352"/>
      <c r="EL156" s="352"/>
      <c r="EM156" s="352"/>
      <c r="EN156" s="352"/>
      <c r="EO156" s="353"/>
      <c r="EP156" s="353"/>
      <c r="EQ156" s="353"/>
      <c r="ER156" s="353"/>
      <c r="ES156" s="353"/>
      <c r="ET156" s="353"/>
      <c r="EU156" s="353"/>
      <c r="EV156" s="353"/>
      <c r="EW156" s="353"/>
    </row>
    <row r="157" spans="1:153" ht="12.75" customHeight="1">
      <c r="B157" s="355"/>
      <c r="C157" s="342"/>
      <c r="D157" s="342"/>
      <c r="E157" s="342"/>
      <c r="F157" s="342"/>
      <c r="G157" s="342"/>
      <c r="H157" s="356"/>
      <c r="I157" s="356"/>
      <c r="J157" s="356"/>
      <c r="K157" s="356"/>
      <c r="L157" s="342"/>
      <c r="M157" s="342"/>
      <c r="N157" s="336"/>
      <c r="O157" s="336"/>
      <c r="P157" s="336"/>
      <c r="Q157" s="336"/>
      <c r="R157" s="336"/>
      <c r="S157" s="336"/>
      <c r="T157" s="336"/>
      <c r="U157" s="336"/>
      <c r="V157" s="336"/>
      <c r="W157" s="336"/>
      <c r="X157" s="336"/>
      <c r="Y157" s="336"/>
      <c r="Z157" s="336"/>
      <c r="AA157" s="336"/>
      <c r="AC157" s="684"/>
      <c r="AD157" s="339"/>
      <c r="AE157" s="339"/>
      <c r="AF157" s="339"/>
    </row>
    <row r="158" spans="1:153" ht="34.5" customHeight="1">
      <c r="B158" s="560" t="s">
        <v>462</v>
      </c>
      <c r="AC158" s="681"/>
      <c r="EO158" s="251"/>
      <c r="EP158" s="251"/>
      <c r="EQ158" s="251"/>
      <c r="ER158" s="251"/>
      <c r="ES158" s="251"/>
      <c r="ET158" s="251"/>
      <c r="EU158" s="251"/>
      <c r="EV158" s="251"/>
      <c r="EW158" s="251"/>
    </row>
    <row r="159" spans="1:153" ht="20.25" customHeight="1">
      <c r="B159" s="304" t="s">
        <v>254</v>
      </c>
      <c r="C159" s="573" t="s">
        <v>559</v>
      </c>
      <c r="EO159" s="251"/>
      <c r="EP159" s="251"/>
      <c r="EQ159" s="251"/>
      <c r="ER159" s="251"/>
      <c r="ES159" s="251"/>
      <c r="ET159" s="251"/>
      <c r="EU159" s="251"/>
      <c r="EV159" s="251"/>
      <c r="EW159" s="251"/>
    </row>
    <row r="160" spans="1:153" ht="20.25" customHeight="1">
      <c r="B160" s="304" t="s">
        <v>254</v>
      </c>
      <c r="C160" s="573" t="s">
        <v>560</v>
      </c>
      <c r="EO160" s="251"/>
      <c r="EP160" s="251"/>
      <c r="EQ160" s="251"/>
      <c r="ER160" s="251"/>
      <c r="ES160" s="251"/>
      <c r="ET160" s="251"/>
      <c r="EU160" s="251"/>
      <c r="EV160" s="251"/>
      <c r="EW160" s="251"/>
    </row>
    <row r="161" spans="2:153" ht="20.25" customHeight="1">
      <c r="B161" s="304" t="s">
        <v>254</v>
      </c>
      <c r="C161" s="573" t="s">
        <v>561</v>
      </c>
      <c r="EO161" s="251"/>
      <c r="EP161" s="251"/>
      <c r="EQ161" s="251"/>
      <c r="ER161" s="251"/>
      <c r="ES161" s="251"/>
      <c r="ET161" s="251"/>
      <c r="EU161" s="251"/>
      <c r="EV161" s="251"/>
      <c r="EW161" s="251"/>
    </row>
    <row r="162" spans="2:153" ht="20.25" customHeight="1">
      <c r="B162" s="304" t="s">
        <v>254</v>
      </c>
      <c r="C162" s="574" t="s">
        <v>555</v>
      </c>
      <c r="EO162" s="251"/>
      <c r="EP162" s="251"/>
      <c r="EQ162" s="251"/>
      <c r="ER162" s="251"/>
      <c r="ES162" s="251"/>
      <c r="ET162" s="251"/>
      <c r="EU162" s="251"/>
      <c r="EV162" s="251"/>
      <c r="EW162" s="251"/>
    </row>
    <row r="163" spans="2:153" ht="20.25" customHeight="1">
      <c r="B163" s="304" t="s">
        <v>254</v>
      </c>
      <c r="C163" s="574" t="s">
        <v>562</v>
      </c>
      <c r="AC163" s="631" t="s">
        <v>637</v>
      </c>
      <c r="EO163" s="251"/>
      <c r="EP163" s="251"/>
      <c r="EQ163" s="251"/>
      <c r="ER163" s="251"/>
      <c r="ES163" s="251"/>
      <c r="ET163" s="251"/>
      <c r="EU163" s="251"/>
      <c r="EV163" s="251"/>
      <c r="EW163" s="251"/>
    </row>
    <row r="164" spans="2:153" ht="20.25" customHeight="1">
      <c r="B164" s="304" t="s">
        <v>254</v>
      </c>
      <c r="C164" s="574" t="s">
        <v>638</v>
      </c>
      <c r="EO164" s="251"/>
      <c r="EP164" s="251"/>
      <c r="EQ164" s="251"/>
      <c r="ER164" s="251"/>
      <c r="ES164" s="251"/>
      <c r="ET164" s="251"/>
      <c r="EU164" s="251"/>
      <c r="EV164" s="251"/>
      <c r="EW164" s="251"/>
    </row>
    <row r="165" spans="2:153" ht="20.25" customHeight="1">
      <c r="B165" s="304" t="s">
        <v>254</v>
      </c>
      <c r="C165" s="1091" t="s">
        <v>585</v>
      </c>
      <c r="D165" s="1092"/>
      <c r="E165" s="1092"/>
      <c r="F165" s="1092"/>
      <c r="G165" s="1092"/>
      <c r="H165" s="1092"/>
      <c r="I165" s="1092"/>
      <c r="J165" s="1092"/>
      <c r="K165" s="1092"/>
      <c r="L165" s="1092"/>
      <c r="M165" s="1092"/>
      <c r="N165" s="1092"/>
      <c r="O165" s="1092"/>
      <c r="P165" s="1092"/>
      <c r="Q165" s="1092"/>
      <c r="R165" s="1092"/>
      <c r="S165" s="1092"/>
      <c r="T165" s="1092"/>
      <c r="U165" s="1092"/>
      <c r="V165" s="1092"/>
      <c r="W165" s="1092"/>
      <c r="X165" s="1092"/>
      <c r="Y165" s="1092"/>
      <c r="Z165" s="1092"/>
      <c r="EO165" s="251"/>
      <c r="EP165" s="251"/>
      <c r="EQ165" s="251"/>
      <c r="ER165" s="251"/>
      <c r="ES165" s="251"/>
      <c r="ET165" s="251"/>
      <c r="EU165" s="251"/>
      <c r="EV165" s="251"/>
      <c r="EW165" s="251"/>
    </row>
    <row r="166" spans="2:153" ht="20.25" hidden="1" customHeight="1">
      <c r="B166" s="304"/>
      <c r="C166" s="1092"/>
      <c r="D166" s="1092"/>
      <c r="E166" s="1092"/>
      <c r="F166" s="1092"/>
      <c r="G166" s="1092"/>
      <c r="H166" s="1092"/>
      <c r="I166" s="1092"/>
      <c r="J166" s="1092"/>
      <c r="K166" s="1092"/>
      <c r="L166" s="1092"/>
      <c r="M166" s="1092"/>
      <c r="N166" s="1092"/>
      <c r="O166" s="1092"/>
      <c r="P166" s="1092"/>
      <c r="Q166" s="1092"/>
      <c r="R166" s="1092"/>
      <c r="S166" s="1092"/>
      <c r="T166" s="1092"/>
      <c r="U166" s="1092"/>
      <c r="V166" s="1092"/>
      <c r="W166" s="1092"/>
      <c r="X166" s="1092"/>
      <c r="Y166" s="1092"/>
      <c r="Z166" s="1092"/>
      <c r="EO166" s="251"/>
      <c r="EP166" s="251"/>
      <c r="EQ166" s="251"/>
      <c r="ER166" s="251"/>
      <c r="ES166" s="251"/>
      <c r="ET166" s="251"/>
      <c r="EU166" s="251"/>
      <c r="EV166" s="251"/>
      <c r="EW166" s="251"/>
    </row>
    <row r="167" spans="2:153" ht="20.25" customHeight="1">
      <c r="B167" s="304" t="s">
        <v>2</v>
      </c>
      <c r="C167" s="1092"/>
      <c r="D167" s="1092"/>
      <c r="E167" s="1092"/>
      <c r="F167" s="1092"/>
      <c r="G167" s="1092"/>
      <c r="H167" s="1092"/>
      <c r="I167" s="1092"/>
      <c r="J167" s="1092"/>
      <c r="K167" s="1092"/>
      <c r="L167" s="1092"/>
      <c r="M167" s="1092"/>
      <c r="N167" s="1092"/>
      <c r="O167" s="1092"/>
      <c r="P167" s="1092"/>
      <c r="Q167" s="1092"/>
      <c r="R167" s="1092"/>
      <c r="S167" s="1092"/>
      <c r="T167" s="1092"/>
      <c r="U167" s="1092"/>
      <c r="V167" s="1092"/>
      <c r="W167" s="1092"/>
      <c r="X167" s="1092"/>
      <c r="Y167" s="1092"/>
      <c r="Z167" s="1092"/>
      <c r="EO167" s="251"/>
      <c r="EP167" s="251"/>
      <c r="EQ167" s="251"/>
      <c r="ER167" s="251"/>
      <c r="ES167" s="251"/>
      <c r="ET167" s="251"/>
      <c r="EU167" s="251"/>
      <c r="EV167" s="251"/>
      <c r="EW167" s="251"/>
    </row>
    <row r="168" spans="2:153" ht="20.25" hidden="1" customHeight="1">
      <c r="B168" s="304" t="s">
        <v>254</v>
      </c>
      <c r="C168" s="574" t="s">
        <v>488</v>
      </c>
      <c r="EO168" s="251"/>
      <c r="EP168" s="251"/>
      <c r="EQ168" s="251"/>
      <c r="ER168" s="251"/>
      <c r="ES168" s="251"/>
      <c r="ET168" s="251"/>
      <c r="EU168" s="251"/>
      <c r="EV168" s="251"/>
      <c r="EW168" s="251"/>
    </row>
    <row r="169" spans="2:153" ht="20.25" customHeight="1">
      <c r="B169" s="304" t="s">
        <v>254</v>
      </c>
      <c r="C169" s="574" t="s">
        <v>565</v>
      </c>
      <c r="EO169" s="251"/>
      <c r="EP169" s="251"/>
      <c r="EQ169" s="251"/>
      <c r="ER169" s="251"/>
      <c r="ES169" s="251"/>
      <c r="ET169" s="251"/>
      <c r="EU169" s="251"/>
      <c r="EV169" s="251"/>
      <c r="EW169" s="251"/>
    </row>
    <row r="170" spans="2:153" ht="20.25" customHeight="1">
      <c r="B170" s="304" t="s">
        <v>254</v>
      </c>
      <c r="C170" s="578" t="s">
        <v>566</v>
      </c>
      <c r="EO170" s="251"/>
      <c r="EP170" s="251"/>
      <c r="EQ170" s="251"/>
      <c r="ER170" s="251"/>
      <c r="ES170" s="251"/>
      <c r="ET170" s="251"/>
      <c r="EU170" s="251"/>
      <c r="EV170" s="251"/>
      <c r="EW170" s="251"/>
    </row>
    <row r="171" spans="2:153" ht="20.25" customHeight="1">
      <c r="B171" s="304" t="s">
        <v>254</v>
      </c>
      <c r="C171" s="574" t="s">
        <v>489</v>
      </c>
      <c r="T171" s="336"/>
      <c r="U171" s="336"/>
      <c r="V171" s="336"/>
      <c r="W171" s="336"/>
      <c r="X171" s="336"/>
      <c r="Y171" s="336"/>
      <c r="Z171" s="336"/>
      <c r="AA171" s="336"/>
      <c r="AC171" s="339"/>
      <c r="AD171" s="339"/>
      <c r="AE171" s="339"/>
      <c r="AF171" s="339"/>
    </row>
    <row r="172" spans="2:153" ht="12.75" hidden="1" customHeight="1">
      <c r="B172" s="355"/>
      <c r="C172" s="342"/>
      <c r="D172" s="342"/>
      <c r="E172" s="342"/>
      <c r="F172" s="342"/>
      <c r="G172" s="342"/>
      <c r="H172" s="357"/>
      <c r="I172" s="357"/>
      <c r="J172" s="357"/>
      <c r="K172" s="357"/>
      <c r="L172" s="342"/>
      <c r="M172" s="342"/>
      <c r="N172" s="336"/>
      <c r="O172" s="336"/>
      <c r="P172" s="336"/>
      <c r="Q172" s="336"/>
      <c r="R172" s="336"/>
      <c r="S172" s="336"/>
      <c r="T172" s="336"/>
      <c r="U172" s="336"/>
      <c r="V172" s="336"/>
      <c r="W172" s="336"/>
      <c r="X172" s="336"/>
      <c r="Y172" s="336"/>
      <c r="Z172" s="336"/>
      <c r="AA172" s="336"/>
      <c r="AC172" s="339"/>
      <c r="AD172" s="339"/>
      <c r="AE172" s="339"/>
      <c r="AF172" s="339"/>
    </row>
    <row r="173" spans="2:153" ht="12.75" hidden="1" customHeight="1">
      <c r="B173" s="355"/>
      <c r="C173" s="342"/>
      <c r="D173" s="342"/>
      <c r="E173" s="342"/>
      <c r="F173" s="342"/>
      <c r="G173" s="342"/>
      <c r="H173" s="357"/>
      <c r="I173" s="357"/>
      <c r="J173" s="357"/>
      <c r="K173" s="357"/>
      <c r="L173" s="342"/>
      <c r="M173" s="342"/>
      <c r="N173" s="336"/>
      <c r="O173" s="336"/>
      <c r="P173" s="336"/>
      <c r="Q173" s="336"/>
      <c r="R173" s="336"/>
      <c r="S173" s="336"/>
      <c r="T173" s="336"/>
      <c r="U173" s="336"/>
      <c r="V173" s="336"/>
      <c r="W173" s="336"/>
      <c r="X173" s="336"/>
      <c r="Y173" s="336"/>
      <c r="Z173" s="336"/>
      <c r="AA173" s="336"/>
      <c r="AC173" s="339"/>
      <c r="AD173" s="339"/>
      <c r="AE173" s="339"/>
      <c r="AF173" s="339"/>
    </row>
    <row r="174" spans="2:153" ht="12.75" hidden="1" customHeight="1">
      <c r="B174" s="355"/>
      <c r="C174" s="342"/>
      <c r="D174" s="342"/>
      <c r="E174" s="342"/>
      <c r="F174" s="342"/>
      <c r="G174" s="342"/>
      <c r="H174" s="357"/>
      <c r="I174" s="357"/>
      <c r="J174" s="357"/>
      <c r="K174" s="357"/>
      <c r="L174" s="342"/>
      <c r="M174" s="342"/>
      <c r="N174" s="336"/>
      <c r="O174" s="336"/>
      <c r="P174" s="336"/>
      <c r="Q174" s="336"/>
      <c r="R174" s="336"/>
      <c r="S174" s="336"/>
      <c r="T174" s="336"/>
      <c r="U174" s="336"/>
      <c r="V174" s="336"/>
      <c r="W174" s="336"/>
      <c r="X174" s="336"/>
      <c r="Y174" s="336"/>
      <c r="Z174" s="336"/>
      <c r="AA174" s="336"/>
      <c r="AC174" s="339"/>
      <c r="AD174" s="339"/>
      <c r="AE174" s="339"/>
      <c r="AF174" s="339"/>
    </row>
    <row r="175" spans="2:153" ht="12.75" hidden="1" customHeight="1">
      <c r="B175" s="355"/>
      <c r="C175" s="342"/>
      <c r="D175" s="342"/>
      <c r="E175" s="342"/>
      <c r="F175" s="342"/>
      <c r="G175" s="342"/>
      <c r="H175" s="357"/>
      <c r="I175" s="357"/>
      <c r="J175" s="357"/>
      <c r="K175" s="357"/>
      <c r="L175" s="342"/>
      <c r="M175" s="342"/>
      <c r="N175" s="336"/>
      <c r="O175" s="336"/>
      <c r="P175" s="336"/>
      <c r="Q175" s="336"/>
      <c r="R175" s="336"/>
      <c r="S175" s="336"/>
      <c r="T175" s="336"/>
      <c r="U175" s="336"/>
      <c r="V175" s="336"/>
      <c r="W175" s="336"/>
      <c r="X175" s="336"/>
      <c r="Y175" s="336"/>
      <c r="Z175" s="336"/>
      <c r="AA175" s="336"/>
      <c r="AC175" s="339"/>
      <c r="AD175" s="339"/>
      <c r="AE175" s="339"/>
      <c r="AF175" s="339"/>
    </row>
    <row r="176" spans="2:153" ht="12.75" hidden="1" customHeight="1">
      <c r="B176" s="355"/>
      <c r="C176" s="342"/>
      <c r="D176" s="342"/>
      <c r="E176" s="342"/>
      <c r="F176" s="342"/>
      <c r="G176" s="342"/>
      <c r="H176" s="357"/>
      <c r="I176" s="357"/>
      <c r="J176" s="357"/>
      <c r="K176" s="357"/>
      <c r="L176" s="342"/>
      <c r="M176" s="342"/>
      <c r="N176" s="336"/>
      <c r="O176" s="336"/>
      <c r="P176" s="336"/>
      <c r="Q176" s="336"/>
      <c r="R176" s="336"/>
      <c r="S176" s="336"/>
      <c r="T176" s="336"/>
      <c r="U176" s="336"/>
      <c r="V176" s="336"/>
      <c r="W176" s="336"/>
      <c r="X176" s="336"/>
      <c r="Y176" s="336"/>
      <c r="Z176" s="336"/>
      <c r="AA176" s="336"/>
      <c r="AC176" s="339"/>
      <c r="AD176" s="339"/>
      <c r="AE176" s="339"/>
      <c r="AF176" s="339"/>
    </row>
    <row r="177" spans="1:153" ht="12.75" hidden="1" customHeight="1">
      <c r="B177" s="355"/>
      <c r="C177" s="342"/>
      <c r="D177" s="342"/>
      <c r="E177" s="342"/>
      <c r="F177" s="342"/>
      <c r="G177" s="342"/>
      <c r="H177" s="357"/>
      <c r="I177" s="357"/>
      <c r="J177" s="357"/>
      <c r="K177" s="357"/>
      <c r="L177" s="342"/>
      <c r="M177" s="342"/>
      <c r="N177" s="336"/>
      <c r="O177" s="336"/>
      <c r="P177" s="336"/>
      <c r="Q177" s="336"/>
      <c r="R177" s="336"/>
      <c r="S177" s="336"/>
      <c r="T177" s="336"/>
      <c r="U177" s="336"/>
      <c r="V177" s="336"/>
      <c r="W177" s="336"/>
      <c r="X177" s="336"/>
      <c r="Y177" s="336"/>
      <c r="Z177" s="336"/>
      <c r="AA177" s="336"/>
      <c r="AC177" s="339"/>
      <c r="AD177" s="339"/>
      <c r="AE177" s="339"/>
      <c r="AF177" s="339"/>
    </row>
    <row r="178" spans="1:153" ht="12.75" hidden="1" customHeight="1">
      <c r="B178" s="355"/>
      <c r="C178" s="342"/>
      <c r="D178" s="342"/>
      <c r="E178" s="342"/>
      <c r="F178" s="342"/>
      <c r="G178" s="342"/>
      <c r="H178" s="357"/>
      <c r="I178" s="357"/>
      <c r="J178" s="357"/>
      <c r="K178" s="357"/>
      <c r="L178" s="342"/>
      <c r="M178" s="342"/>
      <c r="N178" s="336"/>
      <c r="O178" s="336"/>
      <c r="P178" s="336"/>
      <c r="Q178" s="336"/>
      <c r="R178" s="336"/>
      <c r="S178" s="336"/>
      <c r="T178" s="336"/>
      <c r="U178" s="336"/>
      <c r="V178" s="336"/>
      <c r="W178" s="336"/>
      <c r="X178" s="336"/>
      <c r="Y178" s="336"/>
      <c r="Z178" s="336"/>
      <c r="AA178" s="336"/>
      <c r="AC178" s="339"/>
      <c r="AD178" s="339"/>
      <c r="AE178" s="339"/>
      <c r="AF178" s="339"/>
    </row>
    <row r="179" spans="1:153" ht="12.75" hidden="1" customHeight="1">
      <c r="B179" s="355"/>
      <c r="C179" s="342"/>
      <c r="D179" s="342"/>
      <c r="E179" s="342"/>
      <c r="F179" s="342"/>
      <c r="G179" s="342"/>
      <c r="H179" s="357"/>
      <c r="I179" s="357"/>
      <c r="J179" s="357"/>
      <c r="K179" s="357"/>
      <c r="L179" s="342"/>
      <c r="M179" s="342"/>
      <c r="N179" s="336"/>
      <c r="O179" s="336"/>
      <c r="P179" s="336"/>
      <c r="Q179" s="336"/>
      <c r="R179" s="336"/>
      <c r="S179" s="336"/>
      <c r="T179" s="336"/>
      <c r="U179" s="336"/>
      <c r="V179" s="336"/>
      <c r="W179" s="336"/>
      <c r="X179" s="336"/>
      <c r="Y179" s="336"/>
      <c r="Z179" s="336"/>
      <c r="AA179" s="336"/>
      <c r="AC179" s="339"/>
      <c r="AD179" s="339"/>
      <c r="AE179" s="339"/>
      <c r="AF179" s="339"/>
    </row>
    <row r="180" spans="1:153" s="256" customFormat="1" ht="18" customHeight="1">
      <c r="A180" s="244"/>
      <c r="B180" s="608" t="s">
        <v>254</v>
      </c>
      <c r="C180" s="609" t="s">
        <v>557</v>
      </c>
      <c r="AB180" s="629"/>
      <c r="AC180" s="247"/>
      <c r="AD180" s="247"/>
      <c r="AE180" s="247"/>
      <c r="AF180" s="247"/>
      <c r="AG180" s="248"/>
      <c r="AH180" s="249"/>
      <c r="AI180" s="249"/>
      <c r="AJ180" s="249"/>
      <c r="AK180" s="249"/>
      <c r="AL180" s="249"/>
      <c r="AM180" s="249"/>
      <c r="AN180" s="248"/>
      <c r="AO180" s="248"/>
      <c r="AP180" s="248"/>
      <c r="AQ180" s="248"/>
      <c r="AR180" s="248"/>
      <c r="AS180" s="248"/>
      <c r="AT180" s="248"/>
      <c r="AU180" s="248"/>
      <c r="AV180" s="248"/>
      <c r="AW180" s="248"/>
      <c r="AX180" s="248"/>
      <c r="AY180" s="248"/>
      <c r="AZ180" s="248"/>
      <c r="BA180" s="248"/>
      <c r="BB180" s="248"/>
      <c r="BC180" s="248"/>
      <c r="BD180" s="250"/>
      <c r="BE180" s="250"/>
      <c r="BF180" s="250"/>
      <c r="BG180" s="250"/>
      <c r="BH180" s="250"/>
      <c r="BI180" s="250"/>
      <c r="BJ180" s="250"/>
      <c r="BK180" s="250"/>
      <c r="BL180" s="250"/>
      <c r="BM180" s="250"/>
      <c r="BN180" s="250"/>
      <c r="BO180" s="250"/>
      <c r="BP180" s="250"/>
      <c r="BQ180" s="250"/>
      <c r="BR180" s="250"/>
      <c r="BS180" s="250"/>
      <c r="BT180" s="250"/>
      <c r="BU180" s="251"/>
      <c r="BV180" s="251"/>
      <c r="BW180" s="251"/>
      <c r="BX180" s="251"/>
      <c r="BY180" s="251"/>
      <c r="BZ180" s="251"/>
      <c r="CA180" s="251"/>
      <c r="CB180" s="251"/>
      <c r="CC180" s="251"/>
      <c r="CD180" s="251"/>
      <c r="CE180" s="251"/>
      <c r="CF180" s="251"/>
      <c r="CG180" s="251"/>
      <c r="CH180" s="251"/>
      <c r="CI180" s="251"/>
      <c r="CJ180" s="251"/>
      <c r="CK180" s="251"/>
      <c r="CL180" s="251"/>
      <c r="CM180" s="251"/>
      <c r="CN180" s="251"/>
      <c r="CO180" s="251"/>
      <c r="CP180" s="251"/>
      <c r="CQ180" s="251"/>
      <c r="CR180" s="251"/>
      <c r="CS180" s="251"/>
      <c r="CT180" s="251"/>
      <c r="CU180" s="251"/>
      <c r="CV180" s="251"/>
      <c r="CW180" s="251"/>
      <c r="CX180" s="251"/>
      <c r="CY180" s="251"/>
      <c r="CZ180" s="251"/>
      <c r="DA180" s="251"/>
      <c r="DB180" s="251"/>
      <c r="DC180" s="251"/>
      <c r="DD180" s="251"/>
      <c r="DE180" s="251"/>
      <c r="DF180" s="251"/>
      <c r="DG180" s="251"/>
      <c r="DH180" s="251"/>
      <c r="DI180" s="251"/>
      <c r="DJ180" s="251"/>
      <c r="DK180" s="251"/>
      <c r="DL180" s="251"/>
      <c r="DM180" s="251"/>
      <c r="DN180" s="251"/>
      <c r="DO180" s="251"/>
      <c r="DP180" s="251"/>
      <c r="DQ180" s="251"/>
      <c r="DR180" s="251"/>
      <c r="DS180" s="251"/>
      <c r="DT180" s="251"/>
      <c r="DU180" s="251"/>
      <c r="DV180" s="251"/>
      <c r="DW180" s="251"/>
      <c r="DX180" s="251"/>
      <c r="DY180" s="251"/>
      <c r="DZ180" s="251"/>
      <c r="EA180" s="251"/>
      <c r="EB180" s="251"/>
      <c r="EC180" s="251"/>
      <c r="ED180" s="251"/>
      <c r="EE180" s="251"/>
      <c r="EF180" s="251"/>
      <c r="EG180" s="251"/>
      <c r="EH180" s="251"/>
      <c r="EI180" s="251"/>
      <c r="EJ180" s="251"/>
      <c r="EK180" s="251"/>
      <c r="EL180" s="251"/>
      <c r="EM180" s="251"/>
      <c r="EN180" s="251"/>
      <c r="EO180" s="247"/>
      <c r="EP180" s="247"/>
      <c r="EQ180" s="247"/>
      <c r="ER180" s="247"/>
      <c r="ES180" s="247"/>
      <c r="ET180" s="247"/>
      <c r="EU180" s="247"/>
      <c r="EV180" s="247"/>
      <c r="EW180" s="247"/>
    </row>
    <row r="181" spans="1:153" s="635" customFormat="1" ht="18" customHeight="1">
      <c r="B181" s="608" t="s">
        <v>254</v>
      </c>
      <c r="C181" s="609" t="s">
        <v>501</v>
      </c>
      <c r="AB181" s="629"/>
      <c r="AC181" s="630"/>
      <c r="AD181" s="630"/>
      <c r="AE181" s="630"/>
      <c r="AF181" s="630"/>
      <c r="AG181" s="631"/>
      <c r="AH181" s="632"/>
      <c r="AI181" s="632"/>
      <c r="AJ181" s="632"/>
      <c r="AK181" s="632"/>
      <c r="AL181" s="632"/>
      <c r="AM181" s="632"/>
      <c r="AN181" s="631"/>
      <c r="AO181" s="631"/>
      <c r="AP181" s="631"/>
      <c r="AQ181" s="631"/>
      <c r="AR181" s="631"/>
      <c r="AS181" s="631"/>
      <c r="AT181" s="631"/>
      <c r="AU181" s="631"/>
      <c r="AV181" s="631"/>
      <c r="AW181" s="631"/>
      <c r="AX181" s="631"/>
      <c r="AY181" s="631"/>
      <c r="AZ181" s="631"/>
      <c r="BA181" s="631"/>
      <c r="BB181" s="631"/>
      <c r="BC181" s="631"/>
      <c r="BD181" s="633"/>
      <c r="BE181" s="633"/>
      <c r="BF181" s="633"/>
      <c r="BG181" s="633"/>
      <c r="BH181" s="633"/>
      <c r="BI181" s="633"/>
      <c r="BJ181" s="633"/>
      <c r="BK181" s="633"/>
      <c r="BL181" s="633"/>
      <c r="BM181" s="633"/>
      <c r="BN181" s="633"/>
      <c r="BO181" s="633"/>
      <c r="BP181" s="633"/>
      <c r="BQ181" s="633"/>
      <c r="BR181" s="633"/>
      <c r="BS181" s="633"/>
      <c r="BT181" s="633"/>
      <c r="BU181" s="251"/>
      <c r="BV181" s="251"/>
      <c r="BW181" s="251"/>
      <c r="BX181" s="251"/>
      <c r="BY181" s="251"/>
      <c r="BZ181" s="251"/>
      <c r="CA181" s="251"/>
      <c r="CB181" s="251"/>
      <c r="CC181" s="251"/>
      <c r="CD181" s="251"/>
      <c r="CE181" s="251"/>
      <c r="CF181" s="251"/>
      <c r="CG181" s="251"/>
      <c r="CH181" s="251"/>
      <c r="CI181" s="251"/>
      <c r="CJ181" s="251"/>
      <c r="CK181" s="251"/>
      <c r="CL181" s="251"/>
      <c r="CM181" s="251"/>
      <c r="CN181" s="251"/>
      <c r="CO181" s="251"/>
      <c r="CP181" s="251"/>
      <c r="CQ181" s="251"/>
      <c r="CR181" s="251"/>
      <c r="CS181" s="251"/>
      <c r="CT181" s="251"/>
      <c r="CU181" s="251"/>
      <c r="CV181" s="251"/>
      <c r="CW181" s="251"/>
      <c r="CX181" s="251"/>
      <c r="CY181" s="251"/>
      <c r="CZ181" s="251"/>
      <c r="DA181" s="251"/>
      <c r="DB181" s="251"/>
      <c r="DC181" s="251"/>
      <c r="DD181" s="251"/>
      <c r="DE181" s="251"/>
      <c r="DF181" s="251"/>
      <c r="DG181" s="251"/>
      <c r="DH181" s="251"/>
      <c r="DI181" s="251"/>
      <c r="DJ181" s="251"/>
      <c r="DK181" s="251"/>
      <c r="DL181" s="251"/>
      <c r="DM181" s="251"/>
      <c r="DN181" s="251"/>
      <c r="DO181" s="251"/>
      <c r="DP181" s="251"/>
      <c r="DQ181" s="251"/>
      <c r="DR181" s="251"/>
      <c r="DS181" s="251"/>
      <c r="DT181" s="251"/>
      <c r="DU181" s="251"/>
      <c r="DV181" s="251"/>
      <c r="DW181" s="251"/>
      <c r="DX181" s="251"/>
      <c r="DY181" s="251"/>
      <c r="DZ181" s="251"/>
      <c r="EA181" s="251"/>
      <c r="EB181" s="251"/>
      <c r="EC181" s="251"/>
      <c r="ED181" s="251"/>
      <c r="EE181" s="251"/>
      <c r="EF181" s="251"/>
      <c r="EG181" s="251"/>
      <c r="EH181" s="251"/>
      <c r="EI181" s="251"/>
      <c r="EJ181" s="251"/>
      <c r="EK181" s="251"/>
      <c r="EL181" s="251"/>
      <c r="EM181" s="251"/>
      <c r="EN181" s="251"/>
      <c r="EO181" s="630"/>
      <c r="EP181" s="630"/>
      <c r="EQ181" s="630"/>
      <c r="ER181" s="630"/>
      <c r="ES181" s="630"/>
      <c r="ET181" s="630"/>
      <c r="EU181" s="630"/>
      <c r="EV181" s="630"/>
      <c r="EW181" s="630"/>
    </row>
    <row r="182" spans="1:153" s="635" customFormat="1" ht="18" customHeight="1">
      <c r="B182" s="304" t="s">
        <v>254</v>
      </c>
      <c r="C182" s="574" t="s">
        <v>563</v>
      </c>
      <c r="AB182" s="629"/>
      <c r="AC182" s="630"/>
      <c r="AD182" s="630"/>
      <c r="AE182" s="630"/>
      <c r="AF182" s="630"/>
      <c r="AG182" s="631"/>
      <c r="AH182" s="632"/>
      <c r="AI182" s="632"/>
      <c r="AJ182" s="632"/>
      <c r="AK182" s="632"/>
      <c r="AL182" s="632"/>
      <c r="AM182" s="632"/>
      <c r="AN182" s="631"/>
      <c r="AO182" s="631"/>
      <c r="AP182" s="631"/>
      <c r="AQ182" s="631"/>
      <c r="AR182" s="631"/>
      <c r="AS182" s="631"/>
      <c r="AT182" s="631"/>
      <c r="AU182" s="631"/>
      <c r="AV182" s="631"/>
      <c r="AW182" s="631"/>
      <c r="AX182" s="631"/>
      <c r="AY182" s="631"/>
      <c r="AZ182" s="631"/>
      <c r="BA182" s="631"/>
      <c r="BB182" s="631"/>
      <c r="BC182" s="631"/>
      <c r="BD182" s="633"/>
      <c r="BE182" s="633"/>
      <c r="BF182" s="633"/>
      <c r="BG182" s="633"/>
      <c r="BH182" s="633"/>
      <c r="BI182" s="633"/>
      <c r="BJ182" s="633"/>
      <c r="BK182" s="633"/>
      <c r="BL182" s="633"/>
      <c r="BM182" s="633"/>
      <c r="BN182" s="633"/>
      <c r="BO182" s="633"/>
      <c r="BP182" s="633"/>
      <c r="BQ182" s="633"/>
      <c r="BR182" s="633"/>
      <c r="BS182" s="633"/>
      <c r="BT182" s="633"/>
      <c r="BU182" s="251"/>
      <c r="BV182" s="251"/>
      <c r="BW182" s="251"/>
      <c r="BX182" s="251"/>
      <c r="BY182" s="251"/>
      <c r="BZ182" s="251"/>
      <c r="CA182" s="251"/>
      <c r="CB182" s="251"/>
      <c r="CC182" s="251"/>
      <c r="CD182" s="251"/>
      <c r="CE182" s="251"/>
      <c r="CF182" s="251"/>
      <c r="CG182" s="251"/>
      <c r="CH182" s="251"/>
      <c r="CI182" s="251"/>
      <c r="CJ182" s="251"/>
      <c r="CK182" s="251"/>
      <c r="CL182" s="251"/>
      <c r="CM182" s="251"/>
      <c r="CN182" s="251"/>
      <c r="CO182" s="251"/>
      <c r="CP182" s="251"/>
      <c r="CQ182" s="251"/>
      <c r="CR182" s="251"/>
      <c r="CS182" s="251"/>
      <c r="CT182" s="251"/>
      <c r="CU182" s="251"/>
      <c r="CV182" s="251"/>
      <c r="CW182" s="251"/>
      <c r="CX182" s="251"/>
      <c r="CY182" s="251"/>
      <c r="CZ182" s="251"/>
      <c r="DA182" s="251"/>
      <c r="DB182" s="251"/>
      <c r="DC182" s="251"/>
      <c r="DD182" s="251"/>
      <c r="DE182" s="251"/>
      <c r="DF182" s="251"/>
      <c r="DG182" s="251"/>
      <c r="DH182" s="251"/>
      <c r="DI182" s="251"/>
      <c r="DJ182" s="251"/>
      <c r="DK182" s="251"/>
      <c r="DL182" s="251"/>
      <c r="DM182" s="251"/>
      <c r="DN182" s="251"/>
      <c r="DO182" s="251"/>
      <c r="DP182" s="251"/>
      <c r="DQ182" s="251"/>
      <c r="DR182" s="251"/>
      <c r="DS182" s="251"/>
      <c r="DT182" s="251"/>
      <c r="DU182" s="251"/>
      <c r="DV182" s="251"/>
      <c r="DW182" s="251"/>
      <c r="DX182" s="251"/>
      <c r="DY182" s="251"/>
      <c r="DZ182" s="251"/>
      <c r="EA182" s="251"/>
      <c r="EB182" s="251"/>
      <c r="EC182" s="251"/>
      <c r="ED182" s="251"/>
      <c r="EE182" s="251"/>
      <c r="EF182" s="251"/>
      <c r="EG182" s="251"/>
      <c r="EH182" s="251"/>
      <c r="EI182" s="251"/>
      <c r="EJ182" s="251"/>
      <c r="EK182" s="251"/>
      <c r="EL182" s="251"/>
      <c r="EM182" s="251"/>
      <c r="EN182" s="251"/>
      <c r="EO182" s="630"/>
      <c r="EP182" s="630"/>
      <c r="EQ182" s="630"/>
      <c r="ER182" s="630"/>
      <c r="ES182" s="630"/>
      <c r="ET182" s="630"/>
      <c r="EU182" s="630"/>
      <c r="EV182" s="630"/>
      <c r="EW182" s="630"/>
    </row>
    <row r="183" spans="1:153" s="635" customFormat="1" ht="18" customHeight="1">
      <c r="B183" s="304" t="s">
        <v>254</v>
      </c>
      <c r="C183" s="574" t="s">
        <v>564</v>
      </c>
      <c r="AB183" s="629"/>
      <c r="AC183" s="630"/>
      <c r="AD183" s="630"/>
      <c r="AE183" s="630"/>
      <c r="AF183" s="630"/>
      <c r="AG183" s="631"/>
      <c r="AH183" s="632"/>
      <c r="AI183" s="632"/>
      <c r="AJ183" s="632"/>
      <c r="AK183" s="632"/>
      <c r="AL183" s="632"/>
      <c r="AM183" s="632"/>
      <c r="AN183" s="631"/>
      <c r="AO183" s="631"/>
      <c r="AP183" s="631"/>
      <c r="AQ183" s="631"/>
      <c r="AR183" s="631"/>
      <c r="AS183" s="631"/>
      <c r="AT183" s="631"/>
      <c r="AU183" s="631"/>
      <c r="AV183" s="631"/>
      <c r="AW183" s="631"/>
      <c r="AX183" s="631"/>
      <c r="AY183" s="631"/>
      <c r="AZ183" s="631"/>
      <c r="BA183" s="631"/>
      <c r="BB183" s="631"/>
      <c r="BC183" s="631"/>
      <c r="BD183" s="633"/>
      <c r="BE183" s="633"/>
      <c r="BF183" s="633"/>
      <c r="BG183" s="633"/>
      <c r="BH183" s="633"/>
      <c r="BI183" s="633"/>
      <c r="BJ183" s="633"/>
      <c r="BK183" s="633"/>
      <c r="BL183" s="633"/>
      <c r="BM183" s="633"/>
      <c r="BN183" s="633"/>
      <c r="BO183" s="633"/>
      <c r="BP183" s="633"/>
      <c r="BQ183" s="633"/>
      <c r="BR183" s="633"/>
      <c r="BS183" s="633"/>
      <c r="BT183" s="633"/>
      <c r="BU183" s="251"/>
      <c r="BV183" s="251"/>
      <c r="BW183" s="251"/>
      <c r="BX183" s="251"/>
      <c r="BY183" s="251"/>
      <c r="BZ183" s="251"/>
      <c r="CA183" s="251"/>
      <c r="CB183" s="251"/>
      <c r="CC183" s="251"/>
      <c r="CD183" s="251"/>
      <c r="CE183" s="251"/>
      <c r="CF183" s="251"/>
      <c r="CG183" s="251"/>
      <c r="CH183" s="251"/>
      <c r="CI183" s="251"/>
      <c r="CJ183" s="251"/>
      <c r="CK183" s="251"/>
      <c r="CL183" s="251"/>
      <c r="CM183" s="251"/>
      <c r="CN183" s="251"/>
      <c r="CO183" s="251"/>
      <c r="CP183" s="251"/>
      <c r="CQ183" s="251"/>
      <c r="CR183" s="251"/>
      <c r="CS183" s="251"/>
      <c r="CT183" s="251"/>
      <c r="CU183" s="251"/>
      <c r="CV183" s="251"/>
      <c r="CW183" s="251"/>
      <c r="CX183" s="251"/>
      <c r="CY183" s="251"/>
      <c r="CZ183" s="251"/>
      <c r="DA183" s="251"/>
      <c r="DB183" s="251"/>
      <c r="DC183" s="251"/>
      <c r="DD183" s="251"/>
      <c r="DE183" s="251"/>
      <c r="DF183" s="251"/>
      <c r="DG183" s="251"/>
      <c r="DH183" s="251"/>
      <c r="DI183" s="251"/>
      <c r="DJ183" s="251"/>
      <c r="DK183" s="251"/>
      <c r="DL183" s="251"/>
      <c r="DM183" s="251"/>
      <c r="DN183" s="251"/>
      <c r="DO183" s="251"/>
      <c r="DP183" s="251"/>
      <c r="DQ183" s="251"/>
      <c r="DR183" s="251"/>
      <c r="DS183" s="251"/>
      <c r="DT183" s="251"/>
      <c r="DU183" s="251"/>
      <c r="DV183" s="251"/>
      <c r="DW183" s="251"/>
      <c r="DX183" s="251"/>
      <c r="DY183" s="251"/>
      <c r="DZ183" s="251"/>
      <c r="EA183" s="251"/>
      <c r="EB183" s="251"/>
      <c r="EC183" s="251"/>
      <c r="ED183" s="251"/>
      <c r="EE183" s="251"/>
      <c r="EF183" s="251"/>
      <c r="EG183" s="251"/>
      <c r="EH183" s="251"/>
      <c r="EI183" s="251"/>
      <c r="EJ183" s="251"/>
      <c r="EK183" s="251"/>
      <c r="EL183" s="251"/>
      <c r="EM183" s="251"/>
      <c r="EN183" s="251"/>
      <c r="EO183" s="630"/>
      <c r="EP183" s="630"/>
      <c r="EQ183" s="630"/>
      <c r="ER183" s="630"/>
      <c r="ES183" s="630"/>
      <c r="ET183" s="630"/>
      <c r="EU183" s="630"/>
      <c r="EV183" s="630"/>
      <c r="EW183" s="630"/>
    </row>
    <row r="184" spans="1:153" s="635" customFormat="1" ht="18" customHeight="1">
      <c r="B184" s="608"/>
      <c r="C184" s="609"/>
      <c r="AB184" s="629"/>
      <c r="AC184" s="630"/>
      <c r="AD184" s="630"/>
      <c r="AE184" s="630"/>
      <c r="AF184" s="630"/>
      <c r="AG184" s="631"/>
      <c r="AH184" s="632"/>
      <c r="AI184" s="632"/>
      <c r="AJ184" s="632"/>
      <c r="AK184" s="632"/>
      <c r="AL184" s="632"/>
      <c r="AM184" s="632"/>
      <c r="AN184" s="631"/>
      <c r="AO184" s="631"/>
      <c r="AP184" s="631"/>
      <c r="AQ184" s="631"/>
      <c r="AR184" s="631"/>
      <c r="AS184" s="631"/>
      <c r="AT184" s="631"/>
      <c r="AU184" s="631"/>
      <c r="AV184" s="631"/>
      <c r="AW184" s="631"/>
      <c r="AX184" s="631"/>
      <c r="AY184" s="631"/>
      <c r="AZ184" s="631"/>
      <c r="BA184" s="631"/>
      <c r="BB184" s="631"/>
      <c r="BC184" s="631"/>
      <c r="BD184" s="633"/>
      <c r="BE184" s="633"/>
      <c r="BF184" s="633"/>
      <c r="BG184" s="633"/>
      <c r="BH184" s="633"/>
      <c r="BI184" s="633"/>
      <c r="BJ184" s="633"/>
      <c r="BK184" s="633"/>
      <c r="BL184" s="633"/>
      <c r="BM184" s="633"/>
      <c r="BN184" s="633"/>
      <c r="BO184" s="633"/>
      <c r="BP184" s="633"/>
      <c r="BQ184" s="633"/>
      <c r="BR184" s="633"/>
      <c r="BS184" s="633"/>
      <c r="BT184" s="633"/>
      <c r="BU184" s="251"/>
      <c r="BV184" s="251"/>
      <c r="BW184" s="251"/>
      <c r="BX184" s="251"/>
      <c r="BY184" s="251"/>
      <c r="BZ184" s="251"/>
      <c r="CA184" s="251"/>
      <c r="CB184" s="251"/>
      <c r="CC184" s="251"/>
      <c r="CD184" s="251"/>
      <c r="CE184" s="251"/>
      <c r="CF184" s="251"/>
      <c r="CG184" s="251"/>
      <c r="CH184" s="251"/>
      <c r="CI184" s="251"/>
      <c r="CJ184" s="251"/>
      <c r="CK184" s="251"/>
      <c r="CL184" s="251"/>
      <c r="CM184" s="251"/>
      <c r="CN184" s="251"/>
      <c r="CO184" s="251"/>
      <c r="CP184" s="251"/>
      <c r="CQ184" s="251"/>
      <c r="CR184" s="251"/>
      <c r="CS184" s="251"/>
      <c r="CT184" s="251"/>
      <c r="CU184" s="251"/>
      <c r="CV184" s="251"/>
      <c r="CW184" s="251"/>
      <c r="CX184" s="251"/>
      <c r="CY184" s="251"/>
      <c r="CZ184" s="251"/>
      <c r="DA184" s="251"/>
      <c r="DB184" s="251"/>
      <c r="DC184" s="251"/>
      <c r="DD184" s="251"/>
      <c r="DE184" s="251"/>
      <c r="DF184" s="251"/>
      <c r="DG184" s="251"/>
      <c r="DH184" s="251"/>
      <c r="DI184" s="251"/>
      <c r="DJ184" s="251"/>
      <c r="DK184" s="251"/>
      <c r="DL184" s="251"/>
      <c r="DM184" s="251"/>
      <c r="DN184" s="251"/>
      <c r="DO184" s="251"/>
      <c r="DP184" s="251"/>
      <c r="DQ184" s="251"/>
      <c r="DR184" s="251"/>
      <c r="DS184" s="251"/>
      <c r="DT184" s="251"/>
      <c r="DU184" s="251"/>
      <c r="DV184" s="251"/>
      <c r="DW184" s="251"/>
      <c r="DX184" s="251"/>
      <c r="DY184" s="251"/>
      <c r="DZ184" s="251"/>
      <c r="EA184" s="251"/>
      <c r="EB184" s="251"/>
      <c r="EC184" s="251"/>
      <c r="ED184" s="251"/>
      <c r="EE184" s="251"/>
      <c r="EF184" s="251"/>
      <c r="EG184" s="251"/>
      <c r="EH184" s="251"/>
      <c r="EI184" s="251"/>
      <c r="EJ184" s="251"/>
      <c r="EK184" s="251"/>
      <c r="EL184" s="251"/>
      <c r="EM184" s="251"/>
      <c r="EN184" s="251"/>
      <c r="EO184" s="630"/>
      <c r="EP184" s="630"/>
      <c r="EQ184" s="630"/>
      <c r="ER184" s="630"/>
      <c r="ES184" s="630"/>
      <c r="ET184" s="630"/>
      <c r="EU184" s="630"/>
      <c r="EV184" s="630"/>
      <c r="EW184" s="630"/>
    </row>
    <row r="185" spans="1:153" s="354" customFormat="1" ht="18" customHeight="1">
      <c r="AB185" s="686"/>
      <c r="AC185" s="353"/>
      <c r="AD185" s="353"/>
      <c r="AE185" s="353"/>
      <c r="AF185" s="353"/>
      <c r="AG185" s="349"/>
      <c r="AH185" s="350"/>
      <c r="AI185" s="350"/>
      <c r="AJ185" s="350"/>
      <c r="AK185" s="350"/>
      <c r="AL185" s="350"/>
      <c r="AM185" s="350"/>
      <c r="AN185" s="349"/>
      <c r="AO185" s="349"/>
      <c r="AP185" s="349"/>
      <c r="AQ185" s="349"/>
      <c r="AR185" s="349"/>
      <c r="AS185" s="349"/>
      <c r="AT185" s="349"/>
      <c r="AU185" s="349"/>
      <c r="AV185" s="349"/>
      <c r="AW185" s="349"/>
      <c r="AX185" s="349"/>
      <c r="AY185" s="349"/>
      <c r="AZ185" s="349"/>
      <c r="BA185" s="349"/>
      <c r="BB185" s="349"/>
      <c r="BC185" s="349"/>
      <c r="BD185" s="351"/>
      <c r="BE185" s="351"/>
      <c r="BF185" s="351"/>
      <c r="BG185" s="351"/>
      <c r="BH185" s="351"/>
      <c r="BI185" s="351"/>
      <c r="BJ185" s="351"/>
      <c r="BK185" s="351"/>
      <c r="BL185" s="351"/>
      <c r="BM185" s="351"/>
      <c r="BN185" s="351"/>
      <c r="BO185" s="351"/>
      <c r="BP185" s="351"/>
      <c r="BQ185" s="351"/>
      <c r="BR185" s="351"/>
      <c r="BS185" s="351"/>
      <c r="BT185" s="351"/>
      <c r="BU185" s="352"/>
      <c r="BV185" s="352"/>
      <c r="BW185" s="352"/>
      <c r="BX185" s="352"/>
      <c r="BY185" s="352"/>
      <c r="BZ185" s="352"/>
      <c r="CA185" s="352"/>
      <c r="CB185" s="352"/>
      <c r="CC185" s="352"/>
      <c r="CD185" s="352"/>
      <c r="CE185" s="352"/>
      <c r="CF185" s="352"/>
      <c r="CG185" s="352"/>
      <c r="CH185" s="352"/>
      <c r="CI185" s="352"/>
      <c r="CJ185" s="352"/>
      <c r="CK185" s="352"/>
      <c r="CL185" s="352"/>
      <c r="CM185" s="352"/>
      <c r="CN185" s="352"/>
      <c r="CO185" s="352"/>
      <c r="CP185" s="352"/>
      <c r="CQ185" s="352"/>
      <c r="CR185" s="352"/>
      <c r="CS185" s="352"/>
      <c r="CT185" s="352"/>
      <c r="CU185" s="352"/>
      <c r="CV185" s="352"/>
      <c r="CW185" s="352"/>
      <c r="CX185" s="352"/>
      <c r="CY185" s="352"/>
      <c r="CZ185" s="352"/>
      <c r="DA185" s="352"/>
      <c r="DB185" s="352"/>
      <c r="DC185" s="352"/>
      <c r="DD185" s="352"/>
      <c r="DE185" s="352"/>
      <c r="DF185" s="352"/>
      <c r="DG185" s="352"/>
      <c r="DH185" s="352"/>
      <c r="DI185" s="352"/>
      <c r="DJ185" s="352"/>
      <c r="DK185" s="352"/>
      <c r="DL185" s="352"/>
      <c r="DM185" s="352"/>
      <c r="DN185" s="352"/>
      <c r="DO185" s="352"/>
      <c r="DP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3"/>
      <c r="EP185" s="353"/>
      <c r="EQ185" s="353"/>
      <c r="ER185" s="353"/>
      <c r="ES185" s="353"/>
      <c r="ET185" s="353"/>
      <c r="EU185" s="353"/>
      <c r="EV185" s="353"/>
      <c r="EW185" s="353"/>
    </row>
    <row r="186" spans="1:153" hidden="1">
      <c r="B186" s="358"/>
    </row>
    <row r="187" spans="1:153" ht="34.5" hidden="1" customHeight="1">
      <c r="B187" s="359" t="s">
        <v>60</v>
      </c>
    </row>
    <row r="188" spans="1:153" hidden="1">
      <c r="B188" s="358"/>
      <c r="W188" s="319" t="s">
        <v>2</v>
      </c>
    </row>
    <row r="189" spans="1:153" hidden="1">
      <c r="B189" s="963">
        <f>Z17</f>
        <v>0</v>
      </c>
      <c r="C189" s="964"/>
      <c r="M189" s="967">
        <f>B189*200</f>
        <v>0</v>
      </c>
      <c r="N189" s="968"/>
      <c r="O189" s="968"/>
      <c r="P189" s="968"/>
      <c r="Q189" s="969"/>
    </row>
    <row r="190" spans="1:153" ht="13.5" hidden="1" thickBot="1">
      <c r="B190" s="965"/>
      <c r="C190" s="966"/>
      <c r="E190" s="245" t="s">
        <v>61</v>
      </c>
      <c r="J190" s="245" t="s">
        <v>2</v>
      </c>
      <c r="L190" s="245" t="s">
        <v>47</v>
      </c>
      <c r="M190" s="970"/>
      <c r="N190" s="971"/>
      <c r="O190" s="971"/>
      <c r="P190" s="971"/>
      <c r="Q190" s="972"/>
      <c r="S190" s="245" t="s">
        <v>69</v>
      </c>
    </row>
    <row r="191" spans="1:153" hidden="1">
      <c r="B191" s="358"/>
    </row>
    <row r="192" spans="1:153" ht="40.5" hidden="1" customHeight="1" thickBot="1">
      <c r="B192" s="358" t="s">
        <v>62</v>
      </c>
      <c r="F192" s="973" t="str">
        <f>F8</f>
        <v xml:space="preserve"> </v>
      </c>
      <c r="G192" s="974"/>
      <c r="H192" s="974"/>
      <c r="I192" s="974"/>
      <c r="J192" s="974"/>
      <c r="K192" s="974"/>
      <c r="L192" s="974"/>
      <c r="M192" s="974"/>
      <c r="N192" s="974"/>
      <c r="O192" s="974"/>
      <c r="P192" s="974"/>
      <c r="Q192" s="975"/>
      <c r="S192" s="976" t="s">
        <v>69</v>
      </c>
      <c r="T192" s="977"/>
      <c r="U192" s="977"/>
      <c r="V192" s="977"/>
      <c r="W192" s="977"/>
      <c r="X192" s="977"/>
      <c r="Y192" s="977"/>
      <c r="Z192" s="977"/>
      <c r="AA192" s="978"/>
      <c r="AC192" s="360"/>
    </row>
    <row r="193" spans="1:153" hidden="1">
      <c r="B193" s="358"/>
      <c r="S193" s="979"/>
      <c r="T193" s="980"/>
      <c r="U193" s="980"/>
      <c r="V193" s="980"/>
      <c r="W193" s="980"/>
      <c r="X193" s="980"/>
      <c r="Y193" s="980"/>
      <c r="Z193" s="980"/>
      <c r="AA193" s="981"/>
      <c r="AC193" s="360"/>
    </row>
    <row r="194" spans="1:153" ht="13.5" hidden="1" thickBot="1">
      <c r="B194" s="358" t="s">
        <v>63</v>
      </c>
      <c r="F194" s="985" t="str">
        <f>F10</f>
        <v xml:space="preserve"> </v>
      </c>
      <c r="G194" s="986"/>
      <c r="H194" s="986"/>
      <c r="I194" s="986"/>
      <c r="J194" s="986"/>
      <c r="K194" s="986"/>
      <c r="L194" s="986"/>
      <c r="M194" s="986"/>
      <c r="N194" s="986"/>
      <c r="O194" s="986"/>
      <c r="P194" s="986"/>
      <c r="Q194" s="987"/>
      <c r="S194" s="979"/>
      <c r="T194" s="980"/>
      <c r="U194" s="980"/>
      <c r="V194" s="980"/>
      <c r="W194" s="980"/>
      <c r="X194" s="980"/>
      <c r="Y194" s="980"/>
      <c r="Z194" s="980"/>
      <c r="AA194" s="981"/>
      <c r="AC194" s="360"/>
    </row>
    <row r="195" spans="1:153" ht="13.5" hidden="1" thickBot="1">
      <c r="B195" s="358"/>
      <c r="F195" s="985" t="str">
        <f>F11</f>
        <v xml:space="preserve"> </v>
      </c>
      <c r="G195" s="986"/>
      <c r="H195" s="986"/>
      <c r="I195" s="986"/>
      <c r="J195" s="986"/>
      <c r="K195" s="986"/>
      <c r="L195" s="986"/>
      <c r="M195" s="986"/>
      <c r="N195" s="986"/>
      <c r="O195" s="986"/>
      <c r="P195" s="986"/>
      <c r="Q195" s="987"/>
      <c r="S195" s="979"/>
      <c r="T195" s="980"/>
      <c r="U195" s="980"/>
      <c r="V195" s="980"/>
      <c r="W195" s="980"/>
      <c r="X195" s="980"/>
      <c r="Y195" s="980"/>
      <c r="Z195" s="980"/>
      <c r="AA195" s="981"/>
      <c r="AC195" s="360"/>
    </row>
    <row r="196" spans="1:153" hidden="1">
      <c r="B196" s="358"/>
      <c r="S196" s="979"/>
      <c r="T196" s="980"/>
      <c r="U196" s="980"/>
      <c r="V196" s="980"/>
      <c r="W196" s="980"/>
      <c r="X196" s="980"/>
      <c r="Y196" s="980"/>
      <c r="Z196" s="980"/>
      <c r="AA196" s="981"/>
      <c r="AC196" s="360"/>
    </row>
    <row r="197" spans="1:153" ht="13.5" hidden="1" thickBot="1">
      <c r="B197" s="358" t="s">
        <v>64</v>
      </c>
      <c r="F197" s="985" t="str">
        <f>U8</f>
        <v xml:space="preserve"> </v>
      </c>
      <c r="G197" s="986"/>
      <c r="H197" s="986"/>
      <c r="I197" s="986"/>
      <c r="J197" s="986"/>
      <c r="K197" s="986"/>
      <c r="L197" s="986"/>
      <c r="M197" s="987"/>
      <c r="O197" s="985" t="str">
        <f>U11</f>
        <v xml:space="preserve"> </v>
      </c>
      <c r="P197" s="986"/>
      <c r="Q197" s="987"/>
      <c r="S197" s="979"/>
      <c r="T197" s="980"/>
      <c r="U197" s="980"/>
      <c r="V197" s="980"/>
      <c r="W197" s="980"/>
      <c r="X197" s="980"/>
      <c r="Y197" s="980"/>
      <c r="Z197" s="980"/>
      <c r="AA197" s="981"/>
      <c r="AC197" s="360"/>
    </row>
    <row r="198" spans="1:153" hidden="1">
      <c r="B198" s="358"/>
      <c r="S198" s="979"/>
      <c r="T198" s="980"/>
      <c r="U198" s="980"/>
      <c r="V198" s="980"/>
      <c r="W198" s="980"/>
      <c r="X198" s="980"/>
      <c r="Y198" s="980"/>
      <c r="Z198" s="980"/>
      <c r="AA198" s="981"/>
      <c r="AC198" s="360"/>
    </row>
    <row r="199" spans="1:153" ht="35.25" hidden="1" customHeight="1" thickBot="1">
      <c r="B199" s="358" t="s">
        <v>65</v>
      </c>
      <c r="F199" s="988" t="str">
        <f>AD8</f>
        <v xml:space="preserve"> </v>
      </c>
      <c r="G199" s="989"/>
      <c r="H199" s="989"/>
      <c r="I199" s="989"/>
      <c r="J199" s="989"/>
      <c r="K199" s="989"/>
      <c r="L199" s="989"/>
      <c r="M199" s="989"/>
      <c r="N199" s="989"/>
      <c r="O199" s="989"/>
      <c r="P199" s="989"/>
      <c r="Q199" s="990"/>
      <c r="S199" s="979"/>
      <c r="T199" s="980"/>
      <c r="U199" s="980"/>
      <c r="V199" s="980"/>
      <c r="W199" s="980"/>
      <c r="X199" s="980"/>
      <c r="Y199" s="980"/>
      <c r="Z199" s="980"/>
      <c r="AA199" s="981"/>
      <c r="AC199" s="360"/>
    </row>
    <row r="200" spans="1:153" hidden="1">
      <c r="B200" s="358"/>
      <c r="S200" s="979"/>
      <c r="T200" s="980"/>
      <c r="U200" s="980"/>
      <c r="V200" s="980"/>
      <c r="W200" s="980"/>
      <c r="X200" s="980"/>
      <c r="Y200" s="980"/>
      <c r="Z200" s="980"/>
      <c r="AA200" s="981"/>
      <c r="AC200" s="360"/>
    </row>
    <row r="201" spans="1:153" ht="21.75" hidden="1" customHeight="1" thickBot="1">
      <c r="B201" s="358" t="s">
        <v>66</v>
      </c>
      <c r="F201" s="985" t="str">
        <f>AD11</f>
        <v xml:space="preserve"> </v>
      </c>
      <c r="G201" s="986"/>
      <c r="H201" s="986"/>
      <c r="I201" s="986"/>
      <c r="J201" s="986"/>
      <c r="K201" s="986"/>
      <c r="L201" s="986"/>
      <c r="M201" s="986"/>
      <c r="N201" s="986"/>
      <c r="O201" s="986"/>
      <c r="P201" s="986"/>
      <c r="Q201" s="987"/>
      <c r="S201" s="979"/>
      <c r="T201" s="980"/>
      <c r="U201" s="980"/>
      <c r="V201" s="980"/>
      <c r="W201" s="980"/>
      <c r="X201" s="980"/>
      <c r="Y201" s="980"/>
      <c r="Z201" s="980"/>
      <c r="AA201" s="981"/>
      <c r="AC201" s="360"/>
    </row>
    <row r="202" spans="1:153" hidden="1">
      <c r="B202" s="358"/>
      <c r="S202" s="979"/>
      <c r="T202" s="980"/>
      <c r="U202" s="980"/>
      <c r="V202" s="980"/>
      <c r="W202" s="980"/>
      <c r="X202" s="980"/>
      <c r="Y202" s="980"/>
      <c r="Z202" s="980"/>
      <c r="AA202" s="981"/>
      <c r="AC202" s="360"/>
    </row>
    <row r="203" spans="1:153" ht="13.5" hidden="1" thickBot="1">
      <c r="B203" s="358" t="s">
        <v>67</v>
      </c>
      <c r="F203" s="985" t="str">
        <f>AD13</f>
        <v xml:space="preserve"> </v>
      </c>
      <c r="G203" s="986"/>
      <c r="H203" s="986"/>
      <c r="I203" s="986"/>
      <c r="J203" s="986"/>
      <c r="K203" s="986"/>
      <c r="L203" s="986"/>
      <c r="M203" s="986"/>
      <c r="N203" s="986"/>
      <c r="O203" s="986"/>
      <c r="P203" s="986"/>
      <c r="Q203" s="987"/>
      <c r="S203" s="979"/>
      <c r="T203" s="980"/>
      <c r="U203" s="980"/>
      <c r="V203" s="980"/>
      <c r="W203" s="980"/>
      <c r="X203" s="980"/>
      <c r="Y203" s="980"/>
      <c r="Z203" s="980"/>
      <c r="AA203" s="981"/>
      <c r="AC203" s="360"/>
    </row>
    <row r="204" spans="1:153" hidden="1">
      <c r="B204" s="358"/>
      <c r="S204" s="979"/>
      <c r="T204" s="980"/>
      <c r="U204" s="980"/>
      <c r="V204" s="980"/>
      <c r="W204" s="980"/>
      <c r="X204" s="980"/>
      <c r="Y204" s="980"/>
      <c r="Z204" s="980"/>
      <c r="AA204" s="981"/>
      <c r="AC204" s="360"/>
    </row>
    <row r="205" spans="1:153" ht="13.5" hidden="1" thickBot="1">
      <c r="B205" s="358" t="s">
        <v>68</v>
      </c>
      <c r="F205" s="985" t="str">
        <f>AD15</f>
        <v xml:space="preserve"> </v>
      </c>
      <c r="G205" s="986"/>
      <c r="H205" s="986"/>
      <c r="I205" s="986"/>
      <c r="J205" s="986"/>
      <c r="K205" s="986"/>
      <c r="L205" s="986"/>
      <c r="M205" s="986"/>
      <c r="N205" s="986"/>
      <c r="O205" s="986"/>
      <c r="P205" s="986"/>
      <c r="Q205" s="987"/>
      <c r="S205" s="979"/>
      <c r="T205" s="980"/>
      <c r="U205" s="980"/>
      <c r="V205" s="980"/>
      <c r="W205" s="980"/>
      <c r="X205" s="980"/>
      <c r="Y205" s="980"/>
      <c r="Z205" s="980"/>
      <c r="AA205" s="981"/>
      <c r="AC205" s="360"/>
    </row>
    <row r="206" spans="1:153" hidden="1">
      <c r="B206" s="358"/>
      <c r="S206" s="979"/>
      <c r="T206" s="980"/>
      <c r="U206" s="980"/>
      <c r="V206" s="980"/>
      <c r="W206" s="980"/>
      <c r="X206" s="980"/>
      <c r="Y206" s="980"/>
      <c r="Z206" s="980"/>
      <c r="AA206" s="981"/>
      <c r="AC206" s="360"/>
    </row>
    <row r="207" spans="1:153" ht="13.5" hidden="1" customHeight="1">
      <c r="B207" s="358"/>
      <c r="S207" s="979"/>
      <c r="T207" s="980"/>
      <c r="U207" s="980"/>
      <c r="V207" s="980"/>
      <c r="W207" s="980"/>
      <c r="X207" s="980"/>
      <c r="Y207" s="980"/>
      <c r="Z207" s="980"/>
      <c r="AA207" s="981"/>
      <c r="AC207" s="360"/>
    </row>
    <row r="208" spans="1:153" s="282" customFormat="1" ht="60.75" hidden="1" customHeight="1">
      <c r="A208" s="274"/>
      <c r="B208" s="361" t="s">
        <v>11</v>
      </c>
      <c r="C208" s="362" t="s">
        <v>12</v>
      </c>
      <c r="D208" s="991" t="s">
        <v>13</v>
      </c>
      <c r="E208" s="992"/>
      <c r="F208" s="993"/>
      <c r="G208" s="991" t="s">
        <v>14</v>
      </c>
      <c r="H208" s="992"/>
      <c r="I208" s="993"/>
      <c r="J208" s="991" t="s">
        <v>15</v>
      </c>
      <c r="K208" s="992"/>
      <c r="L208" s="993"/>
      <c r="M208" s="991" t="s">
        <v>16</v>
      </c>
      <c r="N208" s="992"/>
      <c r="O208" s="993"/>
      <c r="P208" s="991" t="s">
        <v>17</v>
      </c>
      <c r="Q208" s="993"/>
      <c r="S208" s="979"/>
      <c r="T208" s="980"/>
      <c r="U208" s="980"/>
      <c r="V208" s="980"/>
      <c r="W208" s="980"/>
      <c r="X208" s="980"/>
      <c r="Y208" s="980"/>
      <c r="Z208" s="980"/>
      <c r="AA208" s="981"/>
      <c r="AB208" s="629"/>
      <c r="AC208" s="360"/>
      <c r="AD208" s="262"/>
      <c r="AE208" s="262"/>
      <c r="AF208" s="262"/>
      <c r="AG208" s="279"/>
      <c r="AH208" s="279"/>
      <c r="AI208" s="279"/>
      <c r="AJ208" s="279"/>
      <c r="AK208" s="279"/>
      <c r="AL208" s="279"/>
      <c r="AM208" s="279"/>
      <c r="AN208" s="279"/>
      <c r="AO208" s="279"/>
      <c r="AP208" s="279"/>
      <c r="AQ208" s="279"/>
      <c r="AR208" s="279"/>
      <c r="AS208" s="279"/>
      <c r="AT208" s="279"/>
      <c r="AU208" s="279"/>
      <c r="AV208" s="279"/>
      <c r="AW208" s="279"/>
      <c r="AX208" s="279"/>
      <c r="AY208" s="279"/>
      <c r="AZ208" s="279"/>
      <c r="BA208" s="279"/>
      <c r="BB208" s="279"/>
      <c r="BC208" s="279"/>
      <c r="BD208" s="281"/>
      <c r="BE208" s="281"/>
      <c r="BF208" s="281"/>
      <c r="BG208" s="281"/>
      <c r="BH208" s="281"/>
      <c r="BI208" s="281"/>
      <c r="BJ208" s="281"/>
      <c r="BK208" s="281"/>
      <c r="BL208" s="281"/>
      <c r="BM208" s="281"/>
      <c r="BN208" s="281"/>
      <c r="BO208" s="281"/>
      <c r="BP208" s="281"/>
      <c r="BQ208" s="281"/>
      <c r="BR208" s="281"/>
      <c r="BS208" s="281"/>
      <c r="BT208" s="281"/>
      <c r="BU208" s="281"/>
      <c r="BV208" s="281"/>
      <c r="BW208" s="281"/>
      <c r="BX208" s="281"/>
      <c r="BY208" s="281"/>
      <c r="BZ208" s="281"/>
      <c r="CA208" s="281"/>
      <c r="CB208" s="281"/>
      <c r="CC208" s="281"/>
      <c r="CD208" s="281"/>
      <c r="CE208" s="281"/>
      <c r="CF208" s="281"/>
      <c r="CG208" s="281"/>
      <c r="CH208" s="281"/>
      <c r="CI208" s="281"/>
      <c r="CJ208" s="281"/>
      <c r="CK208" s="281"/>
      <c r="CL208" s="281"/>
      <c r="CM208" s="281"/>
      <c r="CN208" s="281"/>
      <c r="CO208" s="281"/>
      <c r="CP208" s="281"/>
      <c r="CQ208" s="281"/>
      <c r="CR208" s="281"/>
      <c r="CS208" s="281"/>
      <c r="CT208" s="281"/>
      <c r="CU208" s="281"/>
      <c r="CV208" s="281"/>
      <c r="CW208" s="281"/>
      <c r="CX208" s="281"/>
      <c r="CY208" s="281"/>
      <c r="CZ208" s="281"/>
      <c r="DA208" s="281"/>
      <c r="DB208" s="281"/>
      <c r="DC208" s="281"/>
      <c r="DD208" s="281"/>
      <c r="DE208" s="281"/>
      <c r="DF208" s="281"/>
      <c r="DG208" s="281"/>
      <c r="DH208" s="281"/>
      <c r="DI208" s="281"/>
      <c r="DJ208" s="281"/>
      <c r="DK208" s="281"/>
      <c r="DL208" s="281"/>
      <c r="DM208" s="281"/>
      <c r="DN208" s="281"/>
      <c r="DO208" s="281"/>
      <c r="DP208" s="281"/>
      <c r="DQ208" s="281"/>
      <c r="DR208" s="281"/>
      <c r="DS208" s="281"/>
      <c r="DT208" s="281"/>
      <c r="DU208" s="281"/>
      <c r="DV208" s="281"/>
      <c r="DW208" s="281"/>
      <c r="DX208" s="281"/>
      <c r="DY208" s="281"/>
      <c r="DZ208" s="281"/>
      <c r="EA208" s="281"/>
      <c r="EB208" s="281"/>
      <c r="EC208" s="281"/>
      <c r="ED208" s="281"/>
      <c r="EE208" s="281"/>
      <c r="EF208" s="281"/>
      <c r="EG208" s="281"/>
      <c r="EH208" s="281"/>
      <c r="EI208" s="281"/>
      <c r="EJ208" s="281"/>
      <c r="EK208" s="281"/>
      <c r="EL208" s="281"/>
      <c r="EM208" s="281"/>
      <c r="EN208" s="281"/>
      <c r="EO208" s="262"/>
      <c r="EP208" s="262"/>
      <c r="EQ208" s="262"/>
      <c r="ER208" s="262"/>
      <c r="ES208" s="262"/>
      <c r="ET208" s="262"/>
      <c r="EU208" s="262"/>
      <c r="EV208" s="262"/>
      <c r="EW208" s="262"/>
    </row>
    <row r="209" spans="2:39" ht="6" hidden="1" customHeight="1">
      <c r="B209" s="363"/>
      <c r="C209" s="245" t="s">
        <v>2</v>
      </c>
      <c r="M209" s="245" t="s">
        <v>2</v>
      </c>
      <c r="N209" s="245" t="s">
        <v>2</v>
      </c>
      <c r="S209" s="979"/>
      <c r="T209" s="980"/>
      <c r="U209" s="980"/>
      <c r="V209" s="980"/>
      <c r="W209" s="980"/>
      <c r="X209" s="980"/>
      <c r="Y209" s="980"/>
      <c r="Z209" s="980"/>
      <c r="AA209" s="981"/>
      <c r="AC209" s="360"/>
      <c r="AH209" s="248"/>
      <c r="AI209" s="248"/>
      <c r="AJ209" s="248"/>
      <c r="AK209" s="248"/>
      <c r="AL209" s="248"/>
      <c r="AM209" s="248"/>
    </row>
    <row r="210" spans="2:39" hidden="1">
      <c r="B210" s="361">
        <v>1</v>
      </c>
      <c r="C210" s="364"/>
      <c r="D210" s="950"/>
      <c r="E210" s="951"/>
      <c r="F210" s="952"/>
      <c r="G210" s="950"/>
      <c r="H210" s="951"/>
      <c r="I210" s="952"/>
      <c r="J210" s="953"/>
      <c r="K210" s="954"/>
      <c r="L210" s="955"/>
      <c r="M210" s="950"/>
      <c r="N210" s="951"/>
      <c r="O210" s="952"/>
      <c r="P210" s="956"/>
      <c r="Q210" s="957"/>
      <c r="S210" s="979"/>
      <c r="T210" s="980"/>
      <c r="U210" s="980"/>
      <c r="V210" s="980"/>
      <c r="W210" s="980"/>
      <c r="X210" s="980"/>
      <c r="Y210" s="980"/>
      <c r="Z210" s="980"/>
      <c r="AA210" s="981"/>
      <c r="AC210" s="360"/>
      <c r="AH210" s="248"/>
      <c r="AI210" s="248"/>
      <c r="AJ210" s="248"/>
      <c r="AK210" s="248"/>
      <c r="AL210" s="248"/>
      <c r="AM210" s="248"/>
    </row>
    <row r="211" spans="2:39" hidden="1">
      <c r="B211" s="361">
        <v>2</v>
      </c>
      <c r="C211" s="364"/>
      <c r="D211" s="950"/>
      <c r="E211" s="951"/>
      <c r="F211" s="952"/>
      <c r="G211" s="950"/>
      <c r="H211" s="951"/>
      <c r="I211" s="952"/>
      <c r="J211" s="953"/>
      <c r="K211" s="954"/>
      <c r="L211" s="955"/>
      <c r="M211" s="950"/>
      <c r="N211" s="951"/>
      <c r="O211" s="952"/>
      <c r="P211" s="956"/>
      <c r="Q211" s="957"/>
      <c r="S211" s="979"/>
      <c r="T211" s="980"/>
      <c r="U211" s="980"/>
      <c r="V211" s="980"/>
      <c r="W211" s="980"/>
      <c r="X211" s="980"/>
      <c r="Y211" s="980"/>
      <c r="Z211" s="980"/>
      <c r="AA211" s="981"/>
      <c r="AC211" s="360"/>
      <c r="AH211" s="248"/>
      <c r="AI211" s="248"/>
      <c r="AJ211" s="248"/>
      <c r="AK211" s="248"/>
      <c r="AL211" s="248"/>
      <c r="AM211" s="248"/>
    </row>
    <row r="212" spans="2:39" hidden="1">
      <c r="B212" s="361">
        <v>3</v>
      </c>
      <c r="C212" s="364"/>
      <c r="D212" s="950"/>
      <c r="E212" s="951"/>
      <c r="F212" s="952"/>
      <c r="G212" s="950"/>
      <c r="H212" s="951"/>
      <c r="I212" s="952"/>
      <c r="J212" s="953"/>
      <c r="K212" s="954"/>
      <c r="L212" s="955"/>
      <c r="M212" s="950"/>
      <c r="N212" s="951"/>
      <c r="O212" s="952"/>
      <c r="P212" s="956"/>
      <c r="Q212" s="957"/>
      <c r="S212" s="979"/>
      <c r="T212" s="980"/>
      <c r="U212" s="980"/>
      <c r="V212" s="980"/>
      <c r="W212" s="980"/>
      <c r="X212" s="980"/>
      <c r="Y212" s="980"/>
      <c r="Z212" s="980"/>
      <c r="AA212" s="981"/>
      <c r="AC212" s="360"/>
      <c r="AH212" s="248"/>
      <c r="AI212" s="248"/>
      <c r="AJ212" s="248"/>
      <c r="AK212" s="248"/>
      <c r="AL212" s="248"/>
      <c r="AM212" s="248"/>
    </row>
    <row r="213" spans="2:39" hidden="1">
      <c r="B213" s="361">
        <v>4</v>
      </c>
      <c r="C213" s="364"/>
      <c r="D213" s="950"/>
      <c r="E213" s="951"/>
      <c r="F213" s="952"/>
      <c r="G213" s="950"/>
      <c r="H213" s="951"/>
      <c r="I213" s="952"/>
      <c r="J213" s="953"/>
      <c r="K213" s="954"/>
      <c r="L213" s="955"/>
      <c r="M213" s="950"/>
      <c r="N213" s="951"/>
      <c r="O213" s="952"/>
      <c r="P213" s="956"/>
      <c r="Q213" s="957"/>
      <c r="S213" s="979"/>
      <c r="T213" s="980"/>
      <c r="U213" s="980"/>
      <c r="V213" s="980"/>
      <c r="W213" s="980"/>
      <c r="X213" s="980"/>
      <c r="Y213" s="980"/>
      <c r="Z213" s="980"/>
      <c r="AA213" s="981"/>
      <c r="AC213" s="360"/>
      <c r="AH213" s="248"/>
      <c r="AI213" s="248"/>
      <c r="AJ213" s="248"/>
      <c r="AK213" s="248"/>
      <c r="AL213" s="248"/>
      <c r="AM213" s="248"/>
    </row>
    <row r="214" spans="2:39" hidden="1">
      <c r="B214" s="361">
        <v>5</v>
      </c>
      <c r="C214" s="364"/>
      <c r="D214" s="950"/>
      <c r="E214" s="951"/>
      <c r="F214" s="952"/>
      <c r="G214" s="950"/>
      <c r="H214" s="951"/>
      <c r="I214" s="952"/>
      <c r="J214" s="953"/>
      <c r="K214" s="954"/>
      <c r="L214" s="955"/>
      <c r="M214" s="950"/>
      <c r="N214" s="951"/>
      <c r="O214" s="952"/>
      <c r="P214" s="956"/>
      <c r="Q214" s="957"/>
      <c r="S214" s="979"/>
      <c r="T214" s="980"/>
      <c r="U214" s="980"/>
      <c r="V214" s="980"/>
      <c r="W214" s="980"/>
      <c r="X214" s="980"/>
      <c r="Y214" s="980"/>
      <c r="Z214" s="980"/>
      <c r="AA214" s="981"/>
      <c r="AC214" s="360"/>
      <c r="AH214" s="248"/>
      <c r="AI214" s="248"/>
      <c r="AJ214" s="248"/>
      <c r="AK214" s="248"/>
      <c r="AL214" s="248"/>
      <c r="AM214" s="248"/>
    </row>
    <row r="215" spans="2:39" hidden="1">
      <c r="B215" s="361">
        <v>6</v>
      </c>
      <c r="C215" s="364"/>
      <c r="D215" s="950"/>
      <c r="E215" s="951"/>
      <c r="F215" s="952"/>
      <c r="G215" s="950"/>
      <c r="H215" s="951"/>
      <c r="I215" s="952"/>
      <c r="J215" s="953"/>
      <c r="K215" s="954"/>
      <c r="L215" s="955"/>
      <c r="M215" s="950"/>
      <c r="N215" s="951"/>
      <c r="O215" s="952"/>
      <c r="P215" s="956"/>
      <c r="Q215" s="957"/>
      <c r="S215" s="979"/>
      <c r="T215" s="980"/>
      <c r="U215" s="980"/>
      <c r="V215" s="980"/>
      <c r="W215" s="980"/>
      <c r="X215" s="980"/>
      <c r="Y215" s="980"/>
      <c r="Z215" s="980"/>
      <c r="AA215" s="981"/>
      <c r="AC215" s="360"/>
      <c r="AH215" s="248"/>
      <c r="AI215" s="248"/>
      <c r="AJ215" s="248"/>
      <c r="AK215" s="248"/>
      <c r="AL215" s="248"/>
      <c r="AM215" s="248"/>
    </row>
    <row r="216" spans="2:39" hidden="1">
      <c r="B216" s="361">
        <v>7</v>
      </c>
      <c r="C216" s="364"/>
      <c r="D216" s="950"/>
      <c r="E216" s="951"/>
      <c r="F216" s="952"/>
      <c r="G216" s="950"/>
      <c r="H216" s="951"/>
      <c r="I216" s="952"/>
      <c r="J216" s="953"/>
      <c r="K216" s="954"/>
      <c r="L216" s="955"/>
      <c r="M216" s="950"/>
      <c r="N216" s="951"/>
      <c r="O216" s="952"/>
      <c r="P216" s="956"/>
      <c r="Q216" s="957"/>
      <c r="S216" s="979"/>
      <c r="T216" s="980"/>
      <c r="U216" s="980"/>
      <c r="V216" s="980"/>
      <c r="W216" s="980"/>
      <c r="X216" s="980"/>
      <c r="Y216" s="980"/>
      <c r="Z216" s="980"/>
      <c r="AA216" s="981"/>
      <c r="AC216" s="360"/>
      <c r="AH216" s="248"/>
      <c r="AI216" s="248"/>
      <c r="AJ216" s="248"/>
      <c r="AK216" s="248"/>
      <c r="AL216" s="248"/>
      <c r="AM216" s="248"/>
    </row>
    <row r="217" spans="2:39" hidden="1">
      <c r="B217" s="361">
        <v>8</v>
      </c>
      <c r="C217" s="364"/>
      <c r="D217" s="950"/>
      <c r="E217" s="951"/>
      <c r="F217" s="952"/>
      <c r="G217" s="950"/>
      <c r="H217" s="951"/>
      <c r="I217" s="952"/>
      <c r="J217" s="953"/>
      <c r="K217" s="954"/>
      <c r="L217" s="955"/>
      <c r="M217" s="950"/>
      <c r="N217" s="951"/>
      <c r="O217" s="952"/>
      <c r="P217" s="956"/>
      <c r="Q217" s="957"/>
      <c r="S217" s="979"/>
      <c r="T217" s="980"/>
      <c r="U217" s="980"/>
      <c r="V217" s="980"/>
      <c r="W217" s="980"/>
      <c r="X217" s="980"/>
      <c r="Y217" s="980"/>
      <c r="Z217" s="980"/>
      <c r="AA217" s="981"/>
      <c r="AC217" s="360"/>
      <c r="AH217" s="248"/>
      <c r="AI217" s="248"/>
      <c r="AJ217" s="248"/>
      <c r="AK217" s="248"/>
      <c r="AL217" s="248"/>
      <c r="AM217" s="248"/>
    </row>
    <row r="218" spans="2:39" hidden="1">
      <c r="B218" s="361">
        <v>9</v>
      </c>
      <c r="C218" s="364"/>
      <c r="D218" s="950"/>
      <c r="E218" s="951"/>
      <c r="F218" s="952"/>
      <c r="G218" s="950"/>
      <c r="H218" s="951"/>
      <c r="I218" s="952"/>
      <c r="J218" s="953"/>
      <c r="K218" s="954"/>
      <c r="L218" s="955"/>
      <c r="M218" s="950"/>
      <c r="N218" s="951"/>
      <c r="O218" s="952"/>
      <c r="P218" s="956"/>
      <c r="Q218" s="957"/>
      <c r="S218" s="979"/>
      <c r="T218" s="980"/>
      <c r="U218" s="980"/>
      <c r="V218" s="980"/>
      <c r="W218" s="980"/>
      <c r="X218" s="980"/>
      <c r="Y218" s="980"/>
      <c r="Z218" s="980"/>
      <c r="AA218" s="981"/>
      <c r="AC218" s="360"/>
      <c r="AH218" s="248"/>
      <c r="AI218" s="248"/>
      <c r="AJ218" s="248"/>
      <c r="AK218" s="248"/>
      <c r="AL218" s="248"/>
      <c r="AM218" s="248"/>
    </row>
    <row r="219" spans="2:39" hidden="1">
      <c r="B219" s="361">
        <v>10</v>
      </c>
      <c r="C219" s="364"/>
      <c r="D219" s="950"/>
      <c r="E219" s="951"/>
      <c r="F219" s="952"/>
      <c r="G219" s="950"/>
      <c r="H219" s="951"/>
      <c r="I219" s="952"/>
      <c r="J219" s="953"/>
      <c r="K219" s="954"/>
      <c r="L219" s="955"/>
      <c r="M219" s="950"/>
      <c r="N219" s="951"/>
      <c r="O219" s="952"/>
      <c r="P219" s="956"/>
      <c r="Q219" s="957"/>
      <c r="S219" s="979"/>
      <c r="T219" s="980"/>
      <c r="U219" s="980"/>
      <c r="V219" s="980"/>
      <c r="W219" s="980"/>
      <c r="X219" s="980"/>
      <c r="Y219" s="980"/>
      <c r="Z219" s="980"/>
      <c r="AA219" s="981"/>
      <c r="AC219" s="360"/>
      <c r="AH219" s="248"/>
      <c r="AI219" s="248"/>
      <c r="AJ219" s="248"/>
      <c r="AK219" s="248"/>
      <c r="AL219" s="248"/>
      <c r="AM219" s="248"/>
    </row>
    <row r="220" spans="2:39" hidden="1">
      <c r="B220" s="361">
        <v>11</v>
      </c>
      <c r="C220" s="364"/>
      <c r="D220" s="950"/>
      <c r="E220" s="951"/>
      <c r="F220" s="952"/>
      <c r="G220" s="950"/>
      <c r="H220" s="951"/>
      <c r="I220" s="952"/>
      <c r="J220" s="953"/>
      <c r="K220" s="954"/>
      <c r="L220" s="955"/>
      <c r="M220" s="950"/>
      <c r="N220" s="951"/>
      <c r="O220" s="952"/>
      <c r="P220" s="956"/>
      <c r="Q220" s="957"/>
      <c r="S220" s="979"/>
      <c r="T220" s="980"/>
      <c r="U220" s="980"/>
      <c r="V220" s="980"/>
      <c r="W220" s="980"/>
      <c r="X220" s="980"/>
      <c r="Y220" s="980"/>
      <c r="Z220" s="980"/>
      <c r="AA220" s="981"/>
      <c r="AC220" s="360"/>
      <c r="AH220" s="248"/>
      <c r="AI220" s="248"/>
      <c r="AJ220" s="248"/>
      <c r="AK220" s="248"/>
      <c r="AL220" s="248"/>
      <c r="AM220" s="248"/>
    </row>
    <row r="221" spans="2:39" hidden="1">
      <c r="B221" s="361">
        <v>12</v>
      </c>
      <c r="C221" s="364"/>
      <c r="D221" s="950"/>
      <c r="E221" s="951"/>
      <c r="F221" s="952"/>
      <c r="G221" s="950"/>
      <c r="H221" s="951"/>
      <c r="I221" s="952"/>
      <c r="J221" s="953"/>
      <c r="K221" s="954"/>
      <c r="L221" s="955"/>
      <c r="M221" s="950"/>
      <c r="N221" s="951"/>
      <c r="O221" s="952"/>
      <c r="P221" s="956"/>
      <c r="Q221" s="957"/>
      <c r="S221" s="979"/>
      <c r="T221" s="980"/>
      <c r="U221" s="980"/>
      <c r="V221" s="980"/>
      <c r="W221" s="980"/>
      <c r="X221" s="980"/>
      <c r="Y221" s="980"/>
      <c r="Z221" s="980"/>
      <c r="AA221" s="981"/>
      <c r="AC221" s="360"/>
      <c r="AH221" s="248"/>
      <c r="AI221" s="248"/>
      <c r="AJ221" s="248"/>
      <c r="AK221" s="248"/>
      <c r="AL221" s="248"/>
      <c r="AM221" s="248"/>
    </row>
    <row r="222" spans="2:39" hidden="1">
      <c r="B222" s="361">
        <v>13</v>
      </c>
      <c r="C222" s="364"/>
      <c r="D222" s="950"/>
      <c r="E222" s="951"/>
      <c r="F222" s="952"/>
      <c r="G222" s="950"/>
      <c r="H222" s="951"/>
      <c r="I222" s="952"/>
      <c r="J222" s="953"/>
      <c r="K222" s="954"/>
      <c r="L222" s="955"/>
      <c r="M222" s="950"/>
      <c r="N222" s="951"/>
      <c r="O222" s="952"/>
      <c r="P222" s="956"/>
      <c r="Q222" s="957"/>
      <c r="S222" s="979"/>
      <c r="T222" s="980"/>
      <c r="U222" s="980"/>
      <c r="V222" s="980"/>
      <c r="W222" s="980"/>
      <c r="X222" s="980"/>
      <c r="Y222" s="980"/>
      <c r="Z222" s="980"/>
      <c r="AA222" s="981"/>
      <c r="AC222" s="360"/>
      <c r="AH222" s="248"/>
      <c r="AI222" s="248"/>
      <c r="AJ222" s="248"/>
      <c r="AK222" s="248"/>
      <c r="AL222" s="248"/>
      <c r="AM222" s="248"/>
    </row>
    <row r="223" spans="2:39" hidden="1">
      <c r="B223" s="361">
        <v>14</v>
      </c>
      <c r="C223" s="364"/>
      <c r="D223" s="950"/>
      <c r="E223" s="951"/>
      <c r="F223" s="952"/>
      <c r="G223" s="950"/>
      <c r="H223" s="951"/>
      <c r="I223" s="952"/>
      <c r="J223" s="953"/>
      <c r="K223" s="954"/>
      <c r="L223" s="955"/>
      <c r="M223" s="950"/>
      <c r="N223" s="951"/>
      <c r="O223" s="952"/>
      <c r="P223" s="956"/>
      <c r="Q223" s="957"/>
      <c r="S223" s="979"/>
      <c r="T223" s="980"/>
      <c r="U223" s="980"/>
      <c r="V223" s="980"/>
      <c r="W223" s="980"/>
      <c r="X223" s="980"/>
      <c r="Y223" s="980"/>
      <c r="Z223" s="980"/>
      <c r="AA223" s="981"/>
      <c r="AC223" s="360"/>
      <c r="AH223" s="248"/>
      <c r="AI223" s="248"/>
      <c r="AJ223" s="248"/>
      <c r="AK223" s="248"/>
      <c r="AL223" s="248"/>
      <c r="AM223" s="248"/>
    </row>
    <row r="224" spans="2:39" hidden="1">
      <c r="B224" s="361">
        <v>15</v>
      </c>
      <c r="C224" s="364"/>
      <c r="D224" s="950"/>
      <c r="E224" s="951"/>
      <c r="F224" s="952"/>
      <c r="G224" s="950"/>
      <c r="H224" s="951"/>
      <c r="I224" s="952"/>
      <c r="J224" s="953"/>
      <c r="K224" s="954"/>
      <c r="L224" s="955"/>
      <c r="M224" s="950"/>
      <c r="N224" s="951"/>
      <c r="O224" s="952"/>
      <c r="P224" s="956"/>
      <c r="Q224" s="957"/>
      <c r="S224" s="979"/>
      <c r="T224" s="980"/>
      <c r="U224" s="980"/>
      <c r="V224" s="980"/>
      <c r="W224" s="980"/>
      <c r="X224" s="980"/>
      <c r="Y224" s="980"/>
      <c r="Z224" s="980"/>
      <c r="AA224" s="981"/>
      <c r="AC224" s="360"/>
      <c r="AH224" s="248"/>
      <c r="AI224" s="248"/>
      <c r="AJ224" s="248"/>
      <c r="AK224" s="248"/>
      <c r="AL224" s="248"/>
      <c r="AM224" s="248"/>
    </row>
    <row r="225" spans="1:153" hidden="1">
      <c r="B225" s="361">
        <v>16</v>
      </c>
      <c r="C225" s="364"/>
      <c r="D225" s="950"/>
      <c r="E225" s="951"/>
      <c r="F225" s="952"/>
      <c r="G225" s="950"/>
      <c r="H225" s="951"/>
      <c r="I225" s="952"/>
      <c r="J225" s="953"/>
      <c r="K225" s="954"/>
      <c r="L225" s="955"/>
      <c r="M225" s="950"/>
      <c r="N225" s="951"/>
      <c r="O225" s="952"/>
      <c r="P225" s="956"/>
      <c r="Q225" s="957"/>
      <c r="S225" s="979"/>
      <c r="T225" s="980"/>
      <c r="U225" s="980"/>
      <c r="V225" s="980"/>
      <c r="W225" s="980"/>
      <c r="X225" s="980"/>
      <c r="Y225" s="980"/>
      <c r="Z225" s="980"/>
      <c r="AA225" s="981"/>
      <c r="AC225" s="360"/>
      <c r="AH225" s="248"/>
      <c r="AI225" s="248"/>
      <c r="AJ225" s="248"/>
      <c r="AK225" s="248"/>
      <c r="AL225" s="248"/>
      <c r="AM225" s="248"/>
    </row>
    <row r="226" spans="1:153" hidden="1">
      <c r="B226" s="361">
        <v>17</v>
      </c>
      <c r="C226" s="364"/>
      <c r="D226" s="950"/>
      <c r="E226" s="951"/>
      <c r="F226" s="952"/>
      <c r="G226" s="950"/>
      <c r="H226" s="951"/>
      <c r="I226" s="952"/>
      <c r="J226" s="953"/>
      <c r="K226" s="954"/>
      <c r="L226" s="955"/>
      <c r="M226" s="950"/>
      <c r="N226" s="951"/>
      <c r="O226" s="952"/>
      <c r="P226" s="956"/>
      <c r="Q226" s="957"/>
      <c r="S226" s="979"/>
      <c r="T226" s="980"/>
      <c r="U226" s="980"/>
      <c r="V226" s="980"/>
      <c r="W226" s="980"/>
      <c r="X226" s="980"/>
      <c r="Y226" s="980"/>
      <c r="Z226" s="980"/>
      <c r="AA226" s="981"/>
      <c r="AC226" s="360"/>
      <c r="AH226" s="248"/>
      <c r="AI226" s="248"/>
      <c r="AJ226" s="248"/>
      <c r="AK226" s="248"/>
      <c r="AL226" s="248"/>
      <c r="AM226" s="248"/>
    </row>
    <row r="227" spans="1:153" hidden="1">
      <c r="B227" s="361">
        <v>18</v>
      </c>
      <c r="C227" s="364"/>
      <c r="D227" s="950"/>
      <c r="E227" s="951"/>
      <c r="F227" s="952"/>
      <c r="G227" s="950"/>
      <c r="H227" s="951"/>
      <c r="I227" s="952"/>
      <c r="J227" s="953"/>
      <c r="K227" s="954"/>
      <c r="L227" s="955"/>
      <c r="M227" s="950"/>
      <c r="N227" s="951"/>
      <c r="O227" s="952"/>
      <c r="P227" s="956"/>
      <c r="Q227" s="957"/>
      <c r="S227" s="979"/>
      <c r="T227" s="980"/>
      <c r="U227" s="980"/>
      <c r="V227" s="980"/>
      <c r="W227" s="980"/>
      <c r="X227" s="980"/>
      <c r="Y227" s="980"/>
      <c r="Z227" s="980"/>
      <c r="AA227" s="981"/>
      <c r="AC227" s="360"/>
      <c r="AH227" s="248"/>
      <c r="AI227" s="248"/>
      <c r="AJ227" s="248"/>
      <c r="AK227" s="248"/>
      <c r="AL227" s="248"/>
      <c r="AM227" s="248"/>
    </row>
    <row r="228" spans="1:153" hidden="1">
      <c r="B228" s="361">
        <v>19</v>
      </c>
      <c r="C228" s="364"/>
      <c r="D228" s="950"/>
      <c r="E228" s="951"/>
      <c r="F228" s="952"/>
      <c r="G228" s="950"/>
      <c r="H228" s="951"/>
      <c r="I228" s="952"/>
      <c r="J228" s="953"/>
      <c r="K228" s="954"/>
      <c r="L228" s="955"/>
      <c r="M228" s="950"/>
      <c r="N228" s="951"/>
      <c r="O228" s="952"/>
      <c r="P228" s="956"/>
      <c r="Q228" s="957"/>
      <c r="S228" s="979"/>
      <c r="T228" s="980"/>
      <c r="U228" s="980"/>
      <c r="V228" s="980"/>
      <c r="W228" s="980"/>
      <c r="X228" s="980"/>
      <c r="Y228" s="980"/>
      <c r="Z228" s="980"/>
      <c r="AA228" s="981"/>
      <c r="AC228" s="360"/>
      <c r="AH228" s="248"/>
      <c r="AI228" s="248"/>
      <c r="AJ228" s="248"/>
      <c r="AK228" s="248"/>
      <c r="AL228" s="248"/>
      <c r="AM228" s="248"/>
    </row>
    <row r="229" spans="1:153" hidden="1">
      <c r="B229" s="361">
        <v>20</v>
      </c>
      <c r="C229" s="364"/>
      <c r="D229" s="950"/>
      <c r="E229" s="951"/>
      <c r="F229" s="952"/>
      <c r="G229" s="950"/>
      <c r="H229" s="951"/>
      <c r="I229" s="952"/>
      <c r="J229" s="953"/>
      <c r="K229" s="954"/>
      <c r="L229" s="955"/>
      <c r="M229" s="950"/>
      <c r="N229" s="951"/>
      <c r="O229" s="952"/>
      <c r="P229" s="956"/>
      <c r="Q229" s="957"/>
      <c r="S229" s="979"/>
      <c r="T229" s="980"/>
      <c r="U229" s="980"/>
      <c r="V229" s="980"/>
      <c r="W229" s="980"/>
      <c r="X229" s="980"/>
      <c r="Y229" s="980"/>
      <c r="Z229" s="980"/>
      <c r="AA229" s="981"/>
      <c r="AC229" s="360"/>
      <c r="AH229" s="248"/>
      <c r="AI229" s="248"/>
      <c r="AJ229" s="248"/>
      <c r="AK229" s="248"/>
      <c r="AL229" s="248"/>
      <c r="AM229" s="248"/>
    </row>
    <row r="230" spans="1:153" hidden="1">
      <c r="B230" s="361">
        <v>21</v>
      </c>
      <c r="C230" s="364"/>
      <c r="D230" s="950"/>
      <c r="E230" s="951"/>
      <c r="F230" s="952"/>
      <c r="G230" s="950"/>
      <c r="H230" s="951"/>
      <c r="I230" s="952"/>
      <c r="J230" s="953"/>
      <c r="K230" s="954"/>
      <c r="L230" s="955"/>
      <c r="M230" s="950"/>
      <c r="N230" s="951"/>
      <c r="O230" s="952"/>
      <c r="P230" s="956"/>
      <c r="Q230" s="957"/>
      <c r="S230" s="979"/>
      <c r="T230" s="980"/>
      <c r="U230" s="980"/>
      <c r="V230" s="980"/>
      <c r="W230" s="980"/>
      <c r="X230" s="980"/>
      <c r="Y230" s="980"/>
      <c r="Z230" s="980"/>
      <c r="AA230" s="981"/>
      <c r="AC230" s="360"/>
      <c r="AH230" s="248"/>
      <c r="AI230" s="248"/>
      <c r="AJ230" s="248"/>
      <c r="AK230" s="248"/>
      <c r="AL230" s="248"/>
      <c r="AM230" s="248"/>
    </row>
    <row r="231" spans="1:153" hidden="1">
      <c r="B231" s="361">
        <v>22</v>
      </c>
      <c r="C231" s="364"/>
      <c r="D231" s="950"/>
      <c r="E231" s="951"/>
      <c r="F231" s="952"/>
      <c r="G231" s="950"/>
      <c r="H231" s="951"/>
      <c r="I231" s="952"/>
      <c r="J231" s="953"/>
      <c r="K231" s="954"/>
      <c r="L231" s="955"/>
      <c r="M231" s="950"/>
      <c r="N231" s="951"/>
      <c r="O231" s="952"/>
      <c r="P231" s="956"/>
      <c r="Q231" s="957"/>
      <c r="S231" s="979"/>
      <c r="T231" s="980"/>
      <c r="U231" s="980"/>
      <c r="V231" s="980"/>
      <c r="W231" s="980"/>
      <c r="X231" s="980"/>
      <c r="Y231" s="980"/>
      <c r="Z231" s="980"/>
      <c r="AA231" s="981"/>
      <c r="AC231" s="360"/>
      <c r="AH231" s="248"/>
      <c r="AI231" s="248"/>
      <c r="AJ231" s="248"/>
      <c r="AK231" s="248"/>
      <c r="AL231" s="248"/>
      <c r="AM231" s="248"/>
    </row>
    <row r="232" spans="1:153" hidden="1">
      <c r="B232" s="361">
        <v>23</v>
      </c>
      <c r="C232" s="364"/>
      <c r="D232" s="950"/>
      <c r="E232" s="951"/>
      <c r="F232" s="952"/>
      <c r="G232" s="950"/>
      <c r="H232" s="951"/>
      <c r="I232" s="952"/>
      <c r="J232" s="953"/>
      <c r="K232" s="954"/>
      <c r="L232" s="955"/>
      <c r="M232" s="950"/>
      <c r="N232" s="951"/>
      <c r="O232" s="952"/>
      <c r="P232" s="956"/>
      <c r="Q232" s="957"/>
      <c r="S232" s="979"/>
      <c r="T232" s="980"/>
      <c r="U232" s="980"/>
      <c r="V232" s="980"/>
      <c r="W232" s="980"/>
      <c r="X232" s="980"/>
      <c r="Y232" s="980"/>
      <c r="Z232" s="980"/>
      <c r="AA232" s="981"/>
      <c r="AC232" s="360"/>
      <c r="AH232" s="248"/>
      <c r="AI232" s="248"/>
      <c r="AJ232" s="248"/>
      <c r="AK232" s="248"/>
      <c r="AL232" s="248"/>
      <c r="AM232" s="248"/>
    </row>
    <row r="233" spans="1:153" hidden="1">
      <c r="B233" s="361">
        <v>24</v>
      </c>
      <c r="C233" s="364"/>
      <c r="D233" s="950"/>
      <c r="E233" s="951"/>
      <c r="F233" s="952"/>
      <c r="G233" s="950"/>
      <c r="H233" s="951"/>
      <c r="I233" s="952"/>
      <c r="J233" s="953"/>
      <c r="K233" s="954"/>
      <c r="L233" s="955"/>
      <c r="M233" s="950"/>
      <c r="N233" s="951"/>
      <c r="O233" s="952"/>
      <c r="P233" s="956"/>
      <c r="Q233" s="957"/>
      <c r="S233" s="979"/>
      <c r="T233" s="980"/>
      <c r="U233" s="980"/>
      <c r="V233" s="980"/>
      <c r="W233" s="980"/>
      <c r="X233" s="980"/>
      <c r="Y233" s="980"/>
      <c r="Z233" s="980"/>
      <c r="AA233" s="981"/>
      <c r="AC233" s="360"/>
      <c r="AH233" s="248"/>
      <c r="AI233" s="248"/>
      <c r="AJ233" s="248"/>
      <c r="AK233" s="248"/>
      <c r="AL233" s="248"/>
      <c r="AM233" s="248"/>
    </row>
    <row r="234" spans="1:153" ht="13.5" hidden="1" thickBot="1">
      <c r="B234" s="361">
        <v>25</v>
      </c>
      <c r="C234" s="364"/>
      <c r="D234" s="950"/>
      <c r="E234" s="951"/>
      <c r="F234" s="952"/>
      <c r="G234" s="950"/>
      <c r="H234" s="951"/>
      <c r="I234" s="952"/>
      <c r="J234" s="953"/>
      <c r="K234" s="954"/>
      <c r="L234" s="955"/>
      <c r="M234" s="950"/>
      <c r="N234" s="951"/>
      <c r="O234" s="952"/>
      <c r="P234" s="956"/>
      <c r="Q234" s="957"/>
      <c r="S234" s="982"/>
      <c r="T234" s="983"/>
      <c r="U234" s="983"/>
      <c r="V234" s="983"/>
      <c r="W234" s="983"/>
      <c r="X234" s="983"/>
      <c r="Y234" s="983"/>
      <c r="Z234" s="983"/>
      <c r="AA234" s="984"/>
      <c r="AC234" s="360"/>
      <c r="AH234" s="248"/>
      <c r="AI234" s="248"/>
      <c r="AJ234" s="248"/>
      <c r="AK234" s="248"/>
      <c r="AL234" s="248"/>
      <c r="AM234" s="248"/>
    </row>
    <row r="235" spans="1:153" hidden="1">
      <c r="B235" s="358"/>
    </row>
    <row r="236" spans="1:153" hidden="1">
      <c r="B236" s="358"/>
    </row>
    <row r="237" spans="1:153" hidden="1">
      <c r="B237" s="358"/>
    </row>
    <row r="238" spans="1:153" ht="51" customHeight="1">
      <c r="B238" s="358"/>
    </row>
    <row r="239" spans="1:153" s="256" customFormat="1" ht="15.75" customHeight="1">
      <c r="A239" s="244"/>
      <c r="H239" s="461"/>
      <c r="I239" s="461"/>
      <c r="J239" s="461"/>
      <c r="K239" s="461"/>
      <c r="L239" s="461"/>
      <c r="M239" s="461"/>
      <c r="N239" s="461"/>
      <c r="O239" s="461"/>
      <c r="P239" s="461"/>
      <c r="Q239" s="462" t="s">
        <v>226</v>
      </c>
      <c r="R239" s="462" t="s">
        <v>227</v>
      </c>
      <c r="S239" s="462" t="s">
        <v>228</v>
      </c>
      <c r="T239" s="461"/>
      <c r="U239" s="461"/>
      <c r="Y239" s="365"/>
      <c r="Z239" s="365"/>
      <c r="AA239" s="365"/>
      <c r="AB239" s="629"/>
      <c r="AC239" s="247"/>
      <c r="AD239" s="247"/>
      <c r="AE239" s="247"/>
      <c r="AF239" s="247"/>
      <c r="AG239" s="248"/>
      <c r="AH239" s="249"/>
      <c r="AI239" s="249"/>
      <c r="AJ239" s="249"/>
      <c r="AK239" s="249"/>
      <c r="AL239" s="249"/>
      <c r="AM239" s="249"/>
      <c r="AN239" s="248"/>
      <c r="AO239" s="248"/>
      <c r="AP239" s="248"/>
      <c r="AQ239" s="248"/>
      <c r="AR239" s="248"/>
      <c r="AS239" s="248"/>
      <c r="AT239" s="248"/>
      <c r="AU239" s="248"/>
      <c r="AV239" s="248"/>
      <c r="AW239" s="248"/>
      <c r="AX239" s="248"/>
      <c r="AY239" s="248"/>
      <c r="AZ239" s="248"/>
      <c r="BA239" s="248"/>
      <c r="BB239" s="248"/>
      <c r="BC239" s="248"/>
      <c r="BD239" s="250"/>
      <c r="BE239" s="250"/>
      <c r="BF239" s="250"/>
      <c r="BG239" s="250"/>
      <c r="BH239" s="250"/>
      <c r="BI239" s="250"/>
      <c r="BJ239" s="250"/>
      <c r="BK239" s="250"/>
      <c r="BL239" s="250"/>
      <c r="BM239" s="250"/>
      <c r="BN239" s="250"/>
      <c r="BO239" s="250"/>
      <c r="BP239" s="250"/>
      <c r="BQ239" s="250"/>
      <c r="BR239" s="250"/>
      <c r="BS239" s="250"/>
      <c r="BT239" s="250"/>
      <c r="BU239" s="251"/>
      <c r="BV239" s="251"/>
      <c r="BW239" s="251"/>
      <c r="BX239" s="251"/>
      <c r="BY239" s="251"/>
      <c r="BZ239" s="251"/>
      <c r="CA239" s="251"/>
      <c r="CB239" s="251"/>
      <c r="CC239" s="251"/>
      <c r="CD239" s="251"/>
      <c r="CE239" s="251"/>
      <c r="CF239" s="251"/>
      <c r="CG239" s="251"/>
      <c r="CH239" s="251"/>
      <c r="CI239" s="251"/>
      <c r="CJ239" s="251"/>
      <c r="CK239" s="251"/>
      <c r="CL239" s="251"/>
      <c r="CM239" s="251"/>
      <c r="CN239" s="251"/>
      <c r="CO239" s="251"/>
      <c r="CP239" s="251"/>
      <c r="CQ239" s="251"/>
      <c r="CR239" s="251"/>
      <c r="CS239" s="251"/>
      <c r="CT239" s="251"/>
      <c r="CU239" s="251"/>
      <c r="CV239" s="251"/>
      <c r="CW239" s="251"/>
      <c r="CX239" s="251"/>
      <c r="CY239" s="251"/>
      <c r="CZ239" s="251"/>
      <c r="DA239" s="251"/>
      <c r="DB239" s="251"/>
      <c r="DC239" s="251"/>
      <c r="DD239" s="251"/>
      <c r="DE239" s="251"/>
      <c r="DF239" s="251"/>
      <c r="DG239" s="251"/>
      <c r="DH239" s="251"/>
      <c r="DI239" s="251"/>
      <c r="DJ239" s="251"/>
      <c r="DK239" s="251"/>
      <c r="DL239" s="251"/>
      <c r="DM239" s="251"/>
      <c r="DN239" s="251"/>
      <c r="DO239" s="251"/>
      <c r="DP239" s="251"/>
      <c r="DQ239" s="251"/>
      <c r="DR239" s="251"/>
      <c r="DS239" s="251"/>
      <c r="DT239" s="251"/>
      <c r="DU239" s="251"/>
      <c r="DV239" s="251"/>
      <c r="DW239" s="251"/>
      <c r="DX239" s="251"/>
      <c r="DY239" s="251"/>
      <c r="DZ239" s="251"/>
      <c r="EA239" s="251"/>
      <c r="EB239" s="251"/>
      <c r="EC239" s="251"/>
      <c r="ED239" s="251"/>
      <c r="EE239" s="251"/>
      <c r="EF239" s="251"/>
      <c r="EG239" s="251"/>
      <c r="EH239" s="251"/>
      <c r="EI239" s="251"/>
      <c r="EJ239" s="251"/>
      <c r="EK239" s="251"/>
      <c r="EL239" s="251"/>
      <c r="EM239" s="251"/>
      <c r="EN239" s="251"/>
      <c r="EO239" s="247"/>
      <c r="EP239" s="247"/>
      <c r="EQ239" s="247"/>
      <c r="ER239" s="247"/>
      <c r="ES239" s="247"/>
      <c r="ET239" s="247"/>
      <c r="EU239" s="247"/>
      <c r="EV239" s="247"/>
      <c r="EW239" s="247"/>
    </row>
    <row r="240" spans="1:153" s="256" customFormat="1" ht="15.75" customHeight="1">
      <c r="A240" s="244"/>
      <c r="B240" s="366" t="s">
        <v>38</v>
      </c>
      <c r="H240" s="464" t="s">
        <v>221</v>
      </c>
      <c r="I240" s="461" t="s">
        <v>225</v>
      </c>
      <c r="J240" s="461"/>
      <c r="K240" s="461"/>
      <c r="L240" s="461"/>
      <c r="M240" s="461"/>
      <c r="N240" s="461" t="s">
        <v>229</v>
      </c>
      <c r="O240" s="463"/>
      <c r="P240" s="461"/>
      <c r="Q240" s="465" t="s">
        <v>46</v>
      </c>
      <c r="R240" s="465" t="s">
        <v>2</v>
      </c>
      <c r="S240" s="465" t="s">
        <v>2</v>
      </c>
      <c r="T240" s="461"/>
      <c r="U240" s="461"/>
      <c r="Y240" s="461">
        <f>IF(Q240="X",1000000,0)</f>
        <v>1000000</v>
      </c>
      <c r="Z240" s="461">
        <f>IF(R240="X",100000,0)</f>
        <v>0</v>
      </c>
      <c r="AA240" s="365">
        <f>IF(S240="X",200000,0)</f>
        <v>0</v>
      </c>
      <c r="AB240" s="629"/>
      <c r="AC240" s="247"/>
      <c r="AD240" s="247">
        <f>SUM(Y240:AA240)</f>
        <v>1000000</v>
      </c>
      <c r="AE240" s="247"/>
      <c r="AF240" s="247"/>
      <c r="AG240" s="248"/>
      <c r="AH240" s="249"/>
      <c r="AI240" s="249"/>
      <c r="AJ240" s="249"/>
      <c r="AK240" s="249"/>
      <c r="AL240" s="249"/>
      <c r="AM240" s="249"/>
      <c r="AN240" s="248"/>
      <c r="AO240" s="248"/>
      <c r="AP240" s="248"/>
      <c r="AQ240" s="248"/>
      <c r="AR240" s="248"/>
      <c r="AS240" s="248"/>
      <c r="AT240" s="248"/>
      <c r="AU240" s="248"/>
      <c r="AV240" s="248"/>
      <c r="AW240" s="248"/>
      <c r="AX240" s="248"/>
      <c r="AY240" s="248"/>
      <c r="AZ240" s="248"/>
      <c r="BA240" s="248"/>
      <c r="BB240" s="248"/>
      <c r="BC240" s="248"/>
      <c r="BD240" s="250"/>
      <c r="BE240" s="250"/>
      <c r="BF240" s="250"/>
      <c r="BG240" s="250"/>
      <c r="BH240" s="250"/>
      <c r="BI240" s="250"/>
      <c r="BJ240" s="250"/>
      <c r="BK240" s="250"/>
      <c r="BL240" s="250"/>
      <c r="BM240" s="250"/>
      <c r="BN240" s="250"/>
      <c r="BO240" s="250"/>
      <c r="BP240" s="250"/>
      <c r="BQ240" s="250"/>
      <c r="BR240" s="250"/>
      <c r="BS240" s="250"/>
      <c r="BT240" s="250"/>
      <c r="BU240" s="251"/>
      <c r="BV240" s="251"/>
      <c r="BW240" s="251"/>
      <c r="BX240" s="251"/>
      <c r="BY240" s="251"/>
      <c r="BZ240" s="251"/>
      <c r="CA240" s="251"/>
      <c r="CB240" s="251"/>
      <c r="CC240" s="251"/>
      <c r="CD240" s="251"/>
      <c r="CE240" s="251"/>
      <c r="CF240" s="251"/>
      <c r="CG240" s="251"/>
      <c r="CH240" s="251"/>
      <c r="CI240" s="251"/>
      <c r="CJ240" s="251"/>
      <c r="CK240" s="251"/>
      <c r="CL240" s="251"/>
      <c r="CM240" s="251"/>
      <c r="CN240" s="251"/>
      <c r="CO240" s="251"/>
      <c r="CP240" s="251"/>
      <c r="CQ240" s="251"/>
      <c r="CR240" s="251"/>
      <c r="CS240" s="251"/>
      <c r="CT240" s="251"/>
      <c r="CU240" s="251"/>
      <c r="CV240" s="251"/>
      <c r="CW240" s="251"/>
      <c r="CX240" s="251"/>
      <c r="CY240" s="251"/>
      <c r="CZ240" s="251"/>
      <c r="DA240" s="251"/>
      <c r="DB240" s="251"/>
      <c r="DC240" s="251"/>
      <c r="DD240" s="251"/>
      <c r="DE240" s="251"/>
      <c r="DF240" s="251"/>
      <c r="DG240" s="251"/>
      <c r="DH240" s="251"/>
      <c r="DI240" s="251"/>
      <c r="DJ240" s="251"/>
      <c r="DK240" s="251"/>
      <c r="DL240" s="251"/>
      <c r="DM240" s="251"/>
      <c r="DN240" s="251"/>
      <c r="DO240" s="251"/>
      <c r="DP240" s="251"/>
      <c r="DQ240" s="251"/>
      <c r="DR240" s="251"/>
      <c r="DS240" s="251"/>
      <c r="DT240" s="251"/>
      <c r="DU240" s="251"/>
      <c r="DV240" s="251"/>
      <c r="DW240" s="251"/>
      <c r="DX240" s="251"/>
      <c r="DY240" s="251"/>
      <c r="DZ240" s="251"/>
      <c r="EA240" s="251"/>
      <c r="EB240" s="251"/>
      <c r="EC240" s="251"/>
      <c r="ED240" s="251"/>
      <c r="EE240" s="251"/>
      <c r="EF240" s="251"/>
      <c r="EG240" s="251"/>
      <c r="EH240" s="251"/>
      <c r="EI240" s="251"/>
      <c r="EJ240" s="251"/>
      <c r="EK240" s="251"/>
      <c r="EL240" s="251"/>
      <c r="EM240" s="251"/>
      <c r="EN240" s="251"/>
      <c r="EO240" s="247"/>
      <c r="EP240" s="247"/>
      <c r="EQ240" s="247"/>
      <c r="ER240" s="247"/>
      <c r="ES240" s="247"/>
      <c r="ET240" s="247"/>
      <c r="EU240" s="247"/>
      <c r="EV240" s="247"/>
      <c r="EW240" s="247"/>
    </row>
    <row r="241" spans="2:45" ht="7.5" customHeight="1">
      <c r="D241" s="256"/>
      <c r="E241" s="256"/>
      <c r="F241" s="256"/>
      <c r="G241" s="256"/>
      <c r="H241" s="256"/>
      <c r="I241" s="256"/>
      <c r="J241" s="256"/>
      <c r="K241" s="256"/>
      <c r="L241" s="256"/>
      <c r="M241" s="256"/>
      <c r="N241" s="256"/>
      <c r="O241" s="256"/>
      <c r="P241" s="256"/>
      <c r="Q241" s="256"/>
      <c r="R241" s="256"/>
      <c r="S241" s="256"/>
      <c r="T241" s="256"/>
      <c r="U241" s="256"/>
    </row>
    <row r="242" spans="2:45" ht="15" customHeight="1">
      <c r="C242" s="367"/>
      <c r="D242" s="367"/>
      <c r="E242" s="368" t="s">
        <v>256</v>
      </c>
      <c r="F242" s="368"/>
      <c r="G242" s="368"/>
      <c r="H242" s="369"/>
      <c r="I242" s="466"/>
      <c r="J242" s="369"/>
      <c r="K242" s="369"/>
      <c r="L242" s="369" t="s">
        <v>264</v>
      </c>
      <c r="M242" s="369"/>
      <c r="N242" s="369"/>
      <c r="O242" s="466"/>
      <c r="P242" s="369"/>
      <c r="Q242" s="369"/>
      <c r="R242" s="369"/>
      <c r="S242" s="369"/>
      <c r="T242" s="369"/>
      <c r="U242" s="467"/>
      <c r="V242" s="369"/>
      <c r="W242" s="367"/>
      <c r="X242" s="256"/>
      <c r="Y242" s="256"/>
    </row>
    <row r="243" spans="2:45" ht="15" customHeight="1">
      <c r="C243" s="367"/>
      <c r="D243" s="367"/>
      <c r="E243" s="368"/>
      <c r="F243" s="368"/>
      <c r="G243" s="368"/>
      <c r="H243" s="369"/>
      <c r="I243" s="466"/>
      <c r="J243" s="369"/>
      <c r="K243" s="369"/>
      <c r="L243" s="369" t="s">
        <v>262</v>
      </c>
      <c r="M243" s="369"/>
      <c r="N243" s="369"/>
      <c r="O243" s="466"/>
      <c r="P243" s="369"/>
      <c r="Q243" s="369"/>
      <c r="R243" s="369"/>
      <c r="S243" s="369"/>
      <c r="T243" s="369"/>
      <c r="U243" s="467"/>
      <c r="V243" s="369"/>
      <c r="W243" s="367"/>
      <c r="X243" s="256"/>
      <c r="Y243" s="256"/>
    </row>
    <row r="244" spans="2:45" ht="15" customHeight="1">
      <c r="C244" s="367"/>
      <c r="D244" s="367"/>
      <c r="E244" s="949" t="s">
        <v>257</v>
      </c>
      <c r="F244" s="949"/>
      <c r="G244" s="949"/>
      <c r="H244" s="949"/>
      <c r="I244" s="949"/>
      <c r="J244" s="949"/>
      <c r="K244" s="369"/>
      <c r="L244" s="559">
        <v>3.8</v>
      </c>
      <c r="M244" s="369"/>
      <c r="N244" s="369"/>
      <c r="O244" s="1089" t="s">
        <v>455</v>
      </c>
      <c r="P244" s="1089"/>
      <c r="Q244" s="1089"/>
      <c r="R244" s="1089"/>
      <c r="S244" s="1089"/>
      <c r="T244" s="1089"/>
      <c r="U244" s="1089"/>
      <c r="V244" s="1089"/>
      <c r="W244" s="367"/>
      <c r="X244" s="256"/>
      <c r="Y244" s="256"/>
    </row>
    <row r="245" spans="2:45" ht="15" customHeight="1">
      <c r="C245" s="367"/>
      <c r="D245" s="367"/>
      <c r="E245" s="949" t="s">
        <v>258</v>
      </c>
      <c r="F245" s="949"/>
      <c r="G245" s="949"/>
      <c r="H245" s="949"/>
      <c r="I245" s="949"/>
      <c r="J245" s="949"/>
      <c r="K245" s="369"/>
      <c r="L245" s="559">
        <v>2.35</v>
      </c>
      <c r="M245" s="369"/>
      <c r="N245" s="369"/>
      <c r="O245" s="1089" t="s">
        <v>456</v>
      </c>
      <c r="P245" s="1089"/>
      <c r="Q245" s="1089"/>
      <c r="R245" s="1089"/>
      <c r="S245" s="1089"/>
      <c r="T245" s="1089"/>
      <c r="U245" s="1089"/>
      <c r="V245" s="1089"/>
      <c r="W245" s="367"/>
      <c r="X245" s="256"/>
      <c r="Y245" s="256"/>
    </row>
    <row r="246" spans="2:45" ht="15" customHeight="1">
      <c r="C246" s="367"/>
      <c r="D246" s="367"/>
      <c r="E246" s="949" t="s">
        <v>72</v>
      </c>
      <c r="F246" s="949"/>
      <c r="G246" s="949"/>
      <c r="H246" s="949"/>
      <c r="I246" s="949"/>
      <c r="J246" s="949"/>
      <c r="K246" s="369"/>
      <c r="L246" s="559">
        <v>1.1000000000000001</v>
      </c>
      <c r="M246" s="369"/>
      <c r="N246" s="369"/>
      <c r="O246" s="1089" t="s">
        <v>486</v>
      </c>
      <c r="P246" s="1089"/>
      <c r="Q246" s="1089"/>
      <c r="R246" s="1089"/>
      <c r="S246" s="1089"/>
      <c r="T246" s="1089"/>
      <c r="U246" s="1089"/>
      <c r="V246" s="1089"/>
      <c r="W246" s="367"/>
      <c r="X246" s="256"/>
      <c r="Y246" s="256"/>
    </row>
    <row r="247" spans="2:45" ht="15" customHeight="1">
      <c r="C247" s="367"/>
      <c r="D247" s="367"/>
      <c r="E247" s="949" t="s">
        <v>259</v>
      </c>
      <c r="F247" s="949"/>
      <c r="G247" s="949"/>
      <c r="H247" s="949"/>
      <c r="I247" s="949"/>
      <c r="J247" s="949"/>
      <c r="K247" s="369"/>
      <c r="L247" s="559">
        <v>1.1000000000000001</v>
      </c>
      <c r="M247" s="369"/>
      <c r="N247" s="369"/>
      <c r="O247" s="1089" t="s">
        <v>457</v>
      </c>
      <c r="P247" s="1089"/>
      <c r="Q247" s="1089"/>
      <c r="R247" s="1089"/>
      <c r="S247" s="1089"/>
      <c r="T247" s="1089"/>
      <c r="U247" s="1089"/>
      <c r="V247" s="1089"/>
      <c r="W247" s="367"/>
      <c r="X247" s="256"/>
      <c r="Y247" s="256"/>
    </row>
    <row r="248" spans="2:45" ht="15" customHeight="1">
      <c r="C248" s="367"/>
      <c r="D248" s="367"/>
      <c r="E248" s="949" t="s">
        <v>251</v>
      </c>
      <c r="F248" s="949"/>
      <c r="G248" s="949"/>
      <c r="H248" s="949"/>
      <c r="I248" s="949"/>
      <c r="J248" s="949"/>
      <c r="K248" s="369"/>
      <c r="L248" s="559">
        <v>2.85</v>
      </c>
      <c r="M248" s="369"/>
      <c r="N248" s="369"/>
      <c r="O248" s="1089" t="s">
        <v>458</v>
      </c>
      <c r="P248" s="1089"/>
      <c r="Q248" s="1089"/>
      <c r="R248" s="1089"/>
      <c r="S248" s="1089"/>
      <c r="T248" s="1089"/>
      <c r="U248" s="1089"/>
      <c r="V248" s="1089"/>
      <c r="W248" s="367"/>
      <c r="X248" s="256"/>
      <c r="Y248" s="256"/>
    </row>
    <row r="249" spans="2:45" ht="15" customHeight="1">
      <c r="C249" s="367"/>
      <c r="D249" s="367"/>
      <c r="E249" s="949" t="s">
        <v>260</v>
      </c>
      <c r="F249" s="949"/>
      <c r="G249" s="949"/>
      <c r="H249" s="949"/>
      <c r="I249" s="949"/>
      <c r="J249" s="949"/>
      <c r="K249" s="369"/>
      <c r="L249" s="559">
        <v>5</v>
      </c>
      <c r="M249" s="369"/>
      <c r="N249" s="369"/>
      <c r="O249" s="1089" t="s">
        <v>459</v>
      </c>
      <c r="P249" s="1089"/>
      <c r="Q249" s="1089"/>
      <c r="R249" s="1089"/>
      <c r="S249" s="1089"/>
      <c r="T249" s="1089"/>
      <c r="U249" s="1089"/>
      <c r="V249" s="1089"/>
      <c r="W249" s="367"/>
      <c r="X249" s="256"/>
      <c r="Y249" s="256"/>
    </row>
    <row r="250" spans="2:45" ht="15" customHeight="1">
      <c r="C250" s="367"/>
      <c r="D250" s="367"/>
      <c r="E250" s="940" t="s">
        <v>261</v>
      </c>
      <c r="F250" s="940"/>
      <c r="G250" s="940"/>
      <c r="H250" s="940"/>
      <c r="I250" s="940"/>
      <c r="J250" s="940"/>
      <c r="K250" s="369"/>
      <c r="L250" s="559">
        <v>2.5</v>
      </c>
      <c r="M250" s="369"/>
      <c r="N250" s="369"/>
      <c r="O250" s="1089" t="s">
        <v>460</v>
      </c>
      <c r="P250" s="1089"/>
      <c r="Q250" s="1089"/>
      <c r="R250" s="1089"/>
      <c r="S250" s="1089"/>
      <c r="T250" s="1089"/>
      <c r="U250" s="1089"/>
      <c r="V250" s="1089"/>
      <c r="W250" s="367"/>
      <c r="X250" s="256"/>
      <c r="Y250" s="256"/>
      <c r="AH250" s="296">
        <f>P50</f>
        <v>2.4999999999999985E-6</v>
      </c>
      <c r="AI250" s="296"/>
      <c r="AJ250" s="296"/>
      <c r="AK250" s="296"/>
      <c r="AL250" s="296"/>
      <c r="AM250" s="296"/>
      <c r="AN250" s="248">
        <f>IF(AS250&gt;0,1,0)</f>
        <v>1</v>
      </c>
      <c r="AO250" s="248">
        <f>IF(AH250&gt;999999,0,1)</f>
        <v>1</v>
      </c>
      <c r="AP250" s="248">
        <f>IF(BU51&gt;5,0,1)</f>
        <v>1</v>
      </c>
      <c r="AS250" s="248">
        <f>AO250+AP250</f>
        <v>2</v>
      </c>
    </row>
    <row r="251" spans="2:45" ht="15" customHeight="1">
      <c r="C251" s="367"/>
      <c r="D251" s="367"/>
      <c r="E251" s="940" t="s">
        <v>263</v>
      </c>
      <c r="F251" s="940"/>
      <c r="G251" s="940"/>
      <c r="H251" s="940"/>
      <c r="I251" s="940"/>
      <c r="J251" s="940"/>
      <c r="K251" s="369"/>
      <c r="L251" s="559">
        <v>3.5</v>
      </c>
      <c r="M251" s="369"/>
      <c r="N251" s="369"/>
      <c r="O251" s="1089" t="s">
        <v>461</v>
      </c>
      <c r="P251" s="1089"/>
      <c r="Q251" s="1089"/>
      <c r="R251" s="1089"/>
      <c r="S251" s="1089"/>
      <c r="T251" s="1089"/>
      <c r="U251" s="1089"/>
      <c r="V251" s="1089"/>
      <c r="W251" s="367"/>
      <c r="X251" s="256"/>
      <c r="Y251" s="256"/>
      <c r="AH251" s="296"/>
      <c r="AI251" s="296"/>
      <c r="AJ251" s="296"/>
      <c r="AK251" s="296"/>
      <c r="AL251" s="296"/>
      <c r="AM251" s="296"/>
    </row>
    <row r="252" spans="2:45" ht="15" customHeight="1">
      <c r="B252" s="457">
        <f>IF(B257="O",-0.2,0)</f>
        <v>0</v>
      </c>
      <c r="C252" s="367"/>
      <c r="D252" s="367"/>
      <c r="E252" s="940"/>
      <c r="F252" s="940"/>
      <c r="G252" s="940"/>
      <c r="H252" s="940"/>
      <c r="I252" s="940"/>
      <c r="J252" s="940"/>
      <c r="K252" s="369"/>
      <c r="L252" s="405"/>
      <c r="M252" s="369"/>
      <c r="N252" s="369"/>
      <c r="O252" s="1090"/>
      <c r="P252" s="1090"/>
      <c r="Q252" s="1090"/>
      <c r="R252" s="1090"/>
      <c r="S252" s="1090"/>
      <c r="T252" s="1090"/>
      <c r="U252" s="1090"/>
      <c r="V252" s="1090"/>
      <c r="W252" s="367"/>
      <c r="X252" s="256"/>
      <c r="Y252" s="256"/>
      <c r="AH252" s="296"/>
      <c r="AI252" s="296"/>
      <c r="AJ252" s="296"/>
      <c r="AK252" s="296"/>
      <c r="AL252" s="296"/>
      <c r="AM252" s="296"/>
    </row>
    <row r="253" spans="2:45" ht="15" customHeight="1">
      <c r="B253" s="457">
        <f>IF(B257="Oui",-0.2,0)</f>
        <v>0</v>
      </c>
      <c r="C253" s="367"/>
      <c r="D253" s="367"/>
      <c r="E253" s="940"/>
      <c r="F253" s="940"/>
      <c r="G253" s="940"/>
      <c r="H253" s="940"/>
      <c r="I253" s="940"/>
      <c r="J253" s="940"/>
      <c r="K253" s="369"/>
      <c r="L253" s="405"/>
      <c r="M253" s="369"/>
      <c r="N253" s="369"/>
      <c r="O253" s="1090"/>
      <c r="P253" s="1090"/>
      <c r="Q253" s="1090"/>
      <c r="R253" s="1090"/>
      <c r="S253" s="1090"/>
      <c r="T253" s="1090"/>
      <c r="U253" s="1090"/>
      <c r="V253" s="1090"/>
      <c r="W253" s="367"/>
      <c r="X253" s="256"/>
      <c r="Y253" s="256"/>
      <c r="AH253" s="296"/>
      <c r="AI253" s="296"/>
      <c r="AJ253" s="296"/>
      <c r="AK253" s="296"/>
      <c r="AL253" s="296"/>
      <c r="AM253" s="296"/>
    </row>
    <row r="254" spans="2:45" ht="30" customHeight="1" thickBot="1">
      <c r="C254" s="367"/>
      <c r="D254" s="367"/>
      <c r="E254" s="488"/>
      <c r="F254" s="488"/>
      <c r="G254" s="488"/>
      <c r="H254" s="488" t="s">
        <v>329</v>
      </c>
      <c r="I254" s="488"/>
      <c r="J254" s="488"/>
      <c r="K254" s="369"/>
      <c r="L254" s="489"/>
      <c r="M254" s="369"/>
      <c r="N254" s="369"/>
      <c r="O254" s="466"/>
      <c r="P254" s="369"/>
      <c r="Q254" s="369"/>
      <c r="R254" s="369"/>
      <c r="S254" s="369"/>
      <c r="T254" s="369"/>
      <c r="U254" s="467"/>
      <c r="V254" s="369"/>
      <c r="W254" s="367"/>
      <c r="X254" s="256"/>
      <c r="Y254" s="256"/>
      <c r="AH254" s="296"/>
      <c r="AI254" s="296"/>
      <c r="AJ254" s="296"/>
      <c r="AK254" s="296"/>
      <c r="AL254" s="296"/>
      <c r="AM254" s="296"/>
    </row>
    <row r="255" spans="2:45">
      <c r="C255" s="367"/>
      <c r="D255" s="367"/>
      <c r="E255" s="367"/>
      <c r="F255" s="367"/>
      <c r="G255" s="367"/>
      <c r="H255" s="941">
        <v>-0.75</v>
      </c>
      <c r="I255" s="367"/>
      <c r="J255" s="367"/>
      <c r="K255" s="367"/>
      <c r="L255" s="367"/>
      <c r="M255" s="367"/>
      <c r="N255" s="367"/>
      <c r="O255" s="468"/>
      <c r="P255" s="367"/>
      <c r="Q255" s="367"/>
      <c r="R255" s="367"/>
      <c r="S255" s="367"/>
      <c r="T255" s="367"/>
      <c r="U255" s="367"/>
      <c r="V255" s="367"/>
      <c r="W255" s="367"/>
      <c r="X255" s="256"/>
      <c r="Y255" s="256"/>
      <c r="Z255" s="305" t="s">
        <v>328</v>
      </c>
      <c r="AH255" s="249" t="s">
        <v>265</v>
      </c>
    </row>
    <row r="256" spans="2:45" ht="8.25" customHeight="1" thickBot="1">
      <c r="H256" s="942"/>
      <c r="I256" s="370"/>
    </row>
    <row r="257" spans="1:157" s="374" customFormat="1" ht="145.5" customHeight="1" thickBot="1">
      <c r="A257" s="371"/>
      <c r="B257" s="372" t="str">
        <f>PROPOSITION!F13</f>
        <v>N</v>
      </c>
      <c r="C257" s="373">
        <f>MAX((BU51-1),0)*-0.1</f>
        <v>0</v>
      </c>
      <c r="E257" s="439" t="s">
        <v>181</v>
      </c>
      <c r="F257" s="439" t="s">
        <v>360</v>
      </c>
      <c r="G257" s="439" t="s">
        <v>170</v>
      </c>
      <c r="H257" s="511" t="s">
        <v>330</v>
      </c>
      <c r="I257" s="512" t="s">
        <v>180</v>
      </c>
      <c r="J257" s="687" t="s">
        <v>582</v>
      </c>
      <c r="K257" s="512" t="s">
        <v>327</v>
      </c>
      <c r="L257" s="508" t="s">
        <v>481</v>
      </c>
      <c r="M257" s="375"/>
      <c r="N257" s="509" t="s">
        <v>357</v>
      </c>
      <c r="O257" s="439" t="s">
        <v>358</v>
      </c>
      <c r="P257" s="439" t="s">
        <v>359</v>
      </c>
      <c r="Q257" s="439" t="s">
        <v>171</v>
      </c>
      <c r="R257" s="439" t="s">
        <v>502</v>
      </c>
      <c r="S257" s="439" t="s">
        <v>172</v>
      </c>
      <c r="T257" s="375"/>
      <c r="U257" s="439" t="s">
        <v>578</v>
      </c>
      <c r="V257" s="376"/>
      <c r="W257" s="440" t="s">
        <v>169</v>
      </c>
      <c r="Y257" s="486" t="s">
        <v>309</v>
      </c>
      <c r="Z257" s="490">
        <v>0.6</v>
      </c>
      <c r="AA257" s="377"/>
      <c r="AB257" s="629"/>
      <c r="AC257" s="613" t="s">
        <v>548</v>
      </c>
      <c r="AD257" s="378" t="s">
        <v>155</v>
      </c>
      <c r="AE257" s="378"/>
      <c r="AF257" s="378"/>
      <c r="AG257" s="379"/>
      <c r="AH257" s="472" t="s">
        <v>266</v>
      </c>
      <c r="AI257" s="507" t="s">
        <v>331</v>
      </c>
      <c r="AJ257" s="507" t="s">
        <v>332</v>
      </c>
      <c r="AK257" s="507" t="s">
        <v>333</v>
      </c>
      <c r="AL257" s="507" t="s">
        <v>337</v>
      </c>
      <c r="AM257" s="507" t="s">
        <v>337</v>
      </c>
      <c r="AN257" s="507" t="s">
        <v>337</v>
      </c>
      <c r="AO257" s="472" t="s">
        <v>267</v>
      </c>
      <c r="AP257" s="472" t="s">
        <v>268</v>
      </c>
      <c r="AQ257" s="472" t="s">
        <v>311</v>
      </c>
      <c r="AR257" s="472" t="s">
        <v>269</v>
      </c>
      <c r="AS257" s="472" t="s">
        <v>270</v>
      </c>
      <c r="AT257" s="472" t="s">
        <v>271</v>
      </c>
      <c r="AU257" s="472" t="s">
        <v>272</v>
      </c>
      <c r="AV257" s="472" t="s">
        <v>286</v>
      </c>
      <c r="AW257" s="507" t="s">
        <v>334</v>
      </c>
      <c r="AX257" s="507" t="s">
        <v>335</v>
      </c>
      <c r="AY257" s="507" t="s">
        <v>336</v>
      </c>
      <c r="AZ257" s="507" t="s">
        <v>540</v>
      </c>
      <c r="BA257" s="507" t="s">
        <v>541</v>
      </c>
      <c r="BB257" s="654" t="s">
        <v>551</v>
      </c>
      <c r="BC257" s="472" t="s">
        <v>636</v>
      </c>
      <c r="BD257" s="472" t="s">
        <v>273</v>
      </c>
      <c r="BE257" s="472" t="s">
        <v>274</v>
      </c>
      <c r="BF257" s="472" t="s">
        <v>275</v>
      </c>
      <c r="BG257" s="472" t="s">
        <v>276</v>
      </c>
      <c r="BH257" s="472" t="s">
        <v>277</v>
      </c>
      <c r="BI257" s="507" t="s">
        <v>338</v>
      </c>
      <c r="BJ257" s="507" t="s">
        <v>337</v>
      </c>
      <c r="BK257" s="507" t="s">
        <v>337</v>
      </c>
      <c r="BL257" s="507" t="s">
        <v>337</v>
      </c>
      <c r="BM257" s="507" t="s">
        <v>337</v>
      </c>
      <c r="BN257" s="507" t="s">
        <v>337</v>
      </c>
      <c r="BO257" s="507" t="s">
        <v>337</v>
      </c>
      <c r="BP257" s="472" t="s">
        <v>278</v>
      </c>
      <c r="BQ257" s="472" t="s">
        <v>279</v>
      </c>
      <c r="BR257" s="472" t="s">
        <v>280</v>
      </c>
      <c r="BS257" s="472" t="s">
        <v>281</v>
      </c>
      <c r="BT257" s="472" t="s">
        <v>282</v>
      </c>
      <c r="BU257" s="472" t="s">
        <v>283</v>
      </c>
      <c r="BV257" s="472" t="s">
        <v>284</v>
      </c>
      <c r="BW257" s="472" t="s">
        <v>285</v>
      </c>
      <c r="BX257" s="472" t="s">
        <v>308</v>
      </c>
      <c r="BY257" s="507" t="s">
        <v>339</v>
      </c>
      <c r="BZ257" s="507" t="s">
        <v>340</v>
      </c>
      <c r="CA257" s="507" t="s">
        <v>341</v>
      </c>
      <c r="CB257" s="507" t="s">
        <v>342</v>
      </c>
      <c r="CC257" s="507" t="s">
        <v>343</v>
      </c>
      <c r="CD257" s="507" t="s">
        <v>344</v>
      </c>
      <c r="CE257" s="507" t="s">
        <v>345</v>
      </c>
      <c r="CF257" s="507" t="s">
        <v>308</v>
      </c>
      <c r="CG257" s="507" t="s">
        <v>346</v>
      </c>
      <c r="CH257" s="507" t="s">
        <v>347</v>
      </c>
      <c r="CI257" s="507" t="s">
        <v>348</v>
      </c>
      <c r="CJ257" s="507" t="s">
        <v>349</v>
      </c>
      <c r="CK257" s="507" t="s">
        <v>544</v>
      </c>
      <c r="CL257" s="507" t="s">
        <v>337</v>
      </c>
      <c r="CM257" s="472"/>
      <c r="CN257" s="472" t="s">
        <v>287</v>
      </c>
      <c r="CO257" s="472" t="s">
        <v>288</v>
      </c>
      <c r="CP257" s="472" t="s">
        <v>289</v>
      </c>
      <c r="CQ257" s="507" t="s">
        <v>337</v>
      </c>
      <c r="CR257" s="507" t="s">
        <v>337</v>
      </c>
      <c r="CS257" s="472" t="s">
        <v>290</v>
      </c>
      <c r="CT257" s="472" t="s">
        <v>291</v>
      </c>
      <c r="CU257" s="472" t="s">
        <v>292</v>
      </c>
      <c r="CV257" s="472" t="s">
        <v>293</v>
      </c>
      <c r="CW257" s="472" t="s">
        <v>294</v>
      </c>
      <c r="CX257" s="472" t="s">
        <v>295</v>
      </c>
      <c r="CY257" s="472" t="s">
        <v>296</v>
      </c>
      <c r="CZ257" s="507" t="s">
        <v>337</v>
      </c>
      <c r="DA257" s="507" t="s">
        <v>337</v>
      </c>
      <c r="DB257" s="472" t="s">
        <v>297</v>
      </c>
      <c r="DC257" s="472" t="s">
        <v>298</v>
      </c>
      <c r="DD257" s="472" t="s">
        <v>299</v>
      </c>
      <c r="DE257" s="472" t="s">
        <v>300</v>
      </c>
      <c r="DF257" s="472" t="s">
        <v>301</v>
      </c>
      <c r="DG257" s="472" t="s">
        <v>302</v>
      </c>
      <c r="DH257" s="472" t="s">
        <v>303</v>
      </c>
      <c r="DI257" s="472" t="s">
        <v>304</v>
      </c>
      <c r="DJ257" s="472" t="s">
        <v>306</v>
      </c>
      <c r="DK257" s="472" t="s">
        <v>305</v>
      </c>
      <c r="DL257" s="472" t="s">
        <v>310</v>
      </c>
      <c r="DM257" s="507" t="s">
        <v>350</v>
      </c>
      <c r="DN257" s="507" t="s">
        <v>351</v>
      </c>
      <c r="DO257" s="507" t="s">
        <v>352</v>
      </c>
      <c r="DP257" s="507" t="s">
        <v>353</v>
      </c>
      <c r="DQ257" s="507" t="s">
        <v>354</v>
      </c>
      <c r="DR257" s="507" t="s">
        <v>355</v>
      </c>
      <c r="DS257" s="507" t="s">
        <v>356</v>
      </c>
      <c r="DT257" s="507" t="s">
        <v>348</v>
      </c>
      <c r="DU257" s="507" t="s">
        <v>337</v>
      </c>
      <c r="DV257" s="472"/>
      <c r="DW257" s="472"/>
      <c r="DX257" s="472" t="s">
        <v>2</v>
      </c>
      <c r="DY257" s="473" t="s">
        <v>307</v>
      </c>
      <c r="DZ257" s="380"/>
      <c r="EA257" s="478" t="s">
        <v>307</v>
      </c>
      <c r="EB257" s="472" t="s">
        <v>2</v>
      </c>
      <c r="EC257" s="472" t="s">
        <v>2</v>
      </c>
      <c r="ED257" s="472" t="s">
        <v>2</v>
      </c>
      <c r="EE257" s="472" t="s">
        <v>2</v>
      </c>
      <c r="EF257" s="472" t="s">
        <v>2</v>
      </c>
      <c r="EG257" s="478" t="s">
        <v>312</v>
      </c>
      <c r="EH257" s="472" t="s">
        <v>317</v>
      </c>
      <c r="EI257" s="472" t="s">
        <v>318</v>
      </c>
      <c r="EJ257" s="472" t="s">
        <v>319</v>
      </c>
      <c r="EK257" s="472" t="s">
        <v>320</v>
      </c>
      <c r="EL257" s="473" t="s">
        <v>314</v>
      </c>
      <c r="EM257" s="473"/>
      <c r="EN257" s="472" t="s">
        <v>321</v>
      </c>
      <c r="EO257" s="472" t="s">
        <v>322</v>
      </c>
      <c r="EP257" s="473" t="s">
        <v>315</v>
      </c>
      <c r="EQ257" s="472" t="s">
        <v>2</v>
      </c>
      <c r="ER257" s="472" t="s">
        <v>323</v>
      </c>
      <c r="ES257" s="473" t="s">
        <v>316</v>
      </c>
      <c r="ET257" s="472" t="s">
        <v>324</v>
      </c>
      <c r="EU257" s="472" t="s">
        <v>325</v>
      </c>
      <c r="EV257" s="472" t="s">
        <v>326</v>
      </c>
      <c r="EW257" s="478" t="s">
        <v>313</v>
      </c>
      <c r="EX257" s="472" t="s">
        <v>2</v>
      </c>
      <c r="EY257" s="472" t="s">
        <v>2</v>
      </c>
      <c r="EZ257" s="472" t="s">
        <v>2</v>
      </c>
      <c r="FA257" s="472" t="s">
        <v>2</v>
      </c>
    </row>
    <row r="258" spans="1:157" ht="96" hidden="1" customHeight="1">
      <c r="B258" s="381" t="s">
        <v>39</v>
      </c>
      <c r="C258" s="382" t="s">
        <v>40</v>
      </c>
      <c r="E258" s="383">
        <v>-0.1</v>
      </c>
      <c r="F258" s="383">
        <v>-0.1</v>
      </c>
      <c r="G258" s="383">
        <v>-0.15</v>
      </c>
      <c r="H258" s="384" t="s">
        <v>182</v>
      </c>
      <c r="I258" s="385">
        <v>-0.1</v>
      </c>
      <c r="J258" s="384" t="s">
        <v>247</v>
      </c>
      <c r="K258" s="385">
        <v>-0.1</v>
      </c>
      <c r="L258" s="383" t="s">
        <v>2</v>
      </c>
      <c r="M258" s="383"/>
      <c r="N258" s="383" t="s">
        <v>2</v>
      </c>
      <c r="O258" s="386">
        <v>0.1</v>
      </c>
      <c r="P258" s="383" t="s">
        <v>2</v>
      </c>
      <c r="Q258" s="383">
        <v>0.05</v>
      </c>
      <c r="R258" s="383">
        <v>0.2</v>
      </c>
      <c r="S258" s="383">
        <v>0.1</v>
      </c>
      <c r="T258" s="387"/>
      <c r="U258" s="383" t="s">
        <v>2</v>
      </c>
      <c r="V258" s="387"/>
      <c r="W258" s="387"/>
      <c r="Y258" s="388" t="s">
        <v>56</v>
      </c>
      <c r="Z258" s="389" t="s">
        <v>57</v>
      </c>
      <c r="AA258" s="389" t="s">
        <v>73</v>
      </c>
      <c r="AC258" s="390"/>
      <c r="AD258" s="391">
        <f>PROPOSITION!Y21</f>
        <v>0</v>
      </c>
      <c r="AE258" s="391"/>
      <c r="AF258" s="391"/>
      <c r="BC258" s="248" t="s">
        <v>233</v>
      </c>
      <c r="BD258" s="250" t="s">
        <v>253</v>
      </c>
      <c r="BQ258" s="250" t="s">
        <v>234</v>
      </c>
      <c r="BR258" s="250" t="s">
        <v>235</v>
      </c>
      <c r="BS258" s="250" t="s">
        <v>236</v>
      </c>
      <c r="BT258" s="250" t="s">
        <v>237</v>
      </c>
      <c r="BU258" s="251" t="s">
        <v>238</v>
      </c>
      <c r="DX258" s="251" t="s">
        <v>239</v>
      </c>
      <c r="DY258" s="281" t="s">
        <v>240</v>
      </c>
      <c r="EB258" s="392" t="s">
        <v>241</v>
      </c>
      <c r="EC258" s="392" t="s">
        <v>242</v>
      </c>
      <c r="ED258" s="392" t="s">
        <v>243</v>
      </c>
      <c r="EE258" s="392" t="s">
        <v>244</v>
      </c>
      <c r="EL258" s="251" t="s">
        <v>245</v>
      </c>
      <c r="EO258" s="247" t="s">
        <v>246</v>
      </c>
    </row>
    <row r="259" spans="1:157" ht="5.25" customHeight="1">
      <c r="H259" s="393" t="s">
        <v>2</v>
      </c>
      <c r="J259" s="393" t="s">
        <v>2</v>
      </c>
      <c r="S259" s="254" t="s">
        <v>2</v>
      </c>
      <c r="Z259" s="394"/>
      <c r="DY259" s="281"/>
    </row>
    <row r="260" spans="1:157" ht="15" customHeight="1">
      <c r="A260" s="244">
        <f>IF(C260=2.5,0,-0.05)</f>
        <v>-0.05</v>
      </c>
      <c r="B260" s="282">
        <v>1</v>
      </c>
      <c r="C260" s="644">
        <f t="shared" ref="C260:C284" si="26">DY260</f>
        <v>0</v>
      </c>
      <c r="D260" s="245">
        <f t="shared" ref="D260:D284" si="27">IF(C24&gt;0,1,0)</f>
        <v>0</v>
      </c>
      <c r="E260" s="442">
        <f>SUM(B252,B253)</f>
        <v>0</v>
      </c>
      <c r="F260" s="442">
        <f>(PROPOSITION!AA21)+A260</f>
        <v>-0.05</v>
      </c>
      <c r="G260" s="442">
        <f t="shared" ref="G260:G284" si="28">EP24/100</f>
        <v>0</v>
      </c>
      <c r="H260" s="443">
        <f>MAX(H255,(MAX(C257,-1)))</f>
        <v>0</v>
      </c>
      <c r="I260" s="442">
        <f>IF(N15=0,-0.1,0)</f>
        <v>-0.1</v>
      </c>
      <c r="J260" s="444">
        <f t="shared" ref="J260:J284" si="29">(R24-EW260)/1000*-0.02</f>
        <v>0</v>
      </c>
      <c r="K260" s="442">
        <f>IF(PROPOSITION!S21="N",-0.2,0)</f>
        <v>0</v>
      </c>
      <c r="L260" s="454">
        <v>0</v>
      </c>
      <c r="N260" s="454">
        <v>0</v>
      </c>
      <c r="O260" s="442">
        <f>IF(U24="O",0.2,0)</f>
        <v>0</v>
      </c>
      <c r="P260" s="442">
        <f>IF(V24="O",0.4,0)</f>
        <v>0</v>
      </c>
      <c r="Q260" s="442">
        <f t="shared" ref="Q260:Q284" si="30">ED24</f>
        <v>0</v>
      </c>
      <c r="R260" s="444">
        <f t="shared" ref="R260:R284" si="31">AN24</f>
        <v>0.2</v>
      </c>
      <c r="S260" s="444">
        <f>IF($N$15&gt;0,0.2,0)</f>
        <v>0</v>
      </c>
      <c r="T260" s="399">
        <f t="shared" ref="T260:T284" si="32">IF(AND(X24="O",C260&gt;0),10,0)</f>
        <v>0</v>
      </c>
      <c r="U260" s="513">
        <f>(T260+AB260)</f>
        <v>0</v>
      </c>
      <c r="V260" s="282" t="str">
        <f>IF((C260=3.5),"y","")</f>
        <v/>
      </c>
      <c r="W260" s="476">
        <f>SUM(E260:S260)</f>
        <v>4.9999999999999989E-2</v>
      </c>
      <c r="X260" s="576">
        <f>MAX(Z260,C260+W260)</f>
        <v>4.9999999999999989E-2</v>
      </c>
      <c r="Y260" s="475">
        <f>MAX(Z260,C260+W260)</f>
        <v>4.9999999999999989E-2</v>
      </c>
      <c r="Z260" s="475">
        <f t="shared" ref="Z260:Z284" si="33">IF(P24&gt;1,$Z$257,0)</f>
        <v>0</v>
      </c>
      <c r="AA260" s="395">
        <v>0</v>
      </c>
      <c r="AB260" s="629">
        <f>IF((AC260&gt;0)*AND(C260&gt;0),100,0)</f>
        <v>0</v>
      </c>
      <c r="AC260" s="612">
        <f>PROPOSITION!Y21</f>
        <v>0</v>
      </c>
      <c r="AD260" s="396">
        <f>IF($AD$258=30000,750,0)</f>
        <v>0</v>
      </c>
      <c r="AE260" s="396"/>
      <c r="AF260" s="396"/>
      <c r="AH260" s="469">
        <f t="shared" ref="AH260:AK284" si="34">(IF($G24=$AH$257,$L$249,0))</f>
        <v>0</v>
      </c>
      <c r="AI260" s="469">
        <f t="shared" si="34"/>
        <v>0</v>
      </c>
      <c r="AJ260" s="469">
        <f t="shared" si="34"/>
        <v>0</v>
      </c>
      <c r="AK260" s="469">
        <f t="shared" si="34"/>
        <v>0</v>
      </c>
      <c r="AL260" s="469"/>
      <c r="AM260" s="469"/>
      <c r="AN260" s="469"/>
      <c r="AO260" s="469">
        <f t="shared" ref="AO260:AV260" si="35">(IF($G24=AO$257,$L$244,0))</f>
        <v>0</v>
      </c>
      <c r="AP260" s="469">
        <f t="shared" si="35"/>
        <v>0</v>
      </c>
      <c r="AQ260" s="469">
        <f t="shared" si="35"/>
        <v>0</v>
      </c>
      <c r="AR260" s="469">
        <f t="shared" si="35"/>
        <v>0</v>
      </c>
      <c r="AS260" s="469">
        <f t="shared" si="35"/>
        <v>0</v>
      </c>
      <c r="AT260" s="469">
        <f t="shared" si="35"/>
        <v>0</v>
      </c>
      <c r="AU260" s="469">
        <f t="shared" si="35"/>
        <v>0</v>
      </c>
      <c r="AV260" s="469">
        <f t="shared" si="35"/>
        <v>0</v>
      </c>
      <c r="AW260" s="469">
        <f t="shared" ref="AW260:AY284" si="36">(IF($G24=AW$257,$L$244,0))</f>
        <v>0</v>
      </c>
      <c r="AX260" s="469">
        <f t="shared" si="36"/>
        <v>0</v>
      </c>
      <c r="AY260" s="469">
        <f t="shared" si="36"/>
        <v>0</v>
      </c>
      <c r="AZ260" s="469">
        <f t="shared" ref="AZ260:BA260" si="37">(IF($G24=AZ$257,$L$244,0))</f>
        <v>0</v>
      </c>
      <c r="BA260" s="469">
        <f t="shared" si="37"/>
        <v>0</v>
      </c>
      <c r="BB260" s="653">
        <f>(IF($G24=BB$257,$L$244,0))</f>
        <v>0</v>
      </c>
      <c r="BC260" s="653">
        <f>(IF($G24=BC$257,$L$244,0))</f>
        <v>0</v>
      </c>
      <c r="BD260" s="469">
        <f t="shared" ref="BD260:BM260" si="38">(IF($G24=BD$257,$L$248,0))</f>
        <v>0</v>
      </c>
      <c r="BE260" s="469">
        <f t="shared" si="38"/>
        <v>0</v>
      </c>
      <c r="BF260" s="469">
        <f t="shared" si="38"/>
        <v>0</v>
      </c>
      <c r="BG260" s="469">
        <f t="shared" si="38"/>
        <v>0</v>
      </c>
      <c r="BH260" s="469">
        <f t="shared" si="38"/>
        <v>0</v>
      </c>
      <c r="BI260" s="469">
        <f t="shared" si="38"/>
        <v>0</v>
      </c>
      <c r="BJ260" s="469">
        <f t="shared" si="38"/>
        <v>0</v>
      </c>
      <c r="BK260" s="469">
        <f t="shared" si="38"/>
        <v>0</v>
      </c>
      <c r="BL260" s="469">
        <f t="shared" si="38"/>
        <v>0</v>
      </c>
      <c r="BM260" s="469">
        <f t="shared" si="38"/>
        <v>0</v>
      </c>
      <c r="BN260" s="470"/>
      <c r="BO260" s="470"/>
      <c r="BP260" s="469">
        <f t="shared" ref="BP260:BX260" si="39">(IF($G24=BP$257,$L$245,0))</f>
        <v>0</v>
      </c>
      <c r="BQ260" s="469">
        <f t="shared" si="39"/>
        <v>0</v>
      </c>
      <c r="BR260" s="469">
        <f t="shared" si="39"/>
        <v>0</v>
      </c>
      <c r="BS260" s="469">
        <f t="shared" si="39"/>
        <v>0</v>
      </c>
      <c r="BT260" s="469">
        <f t="shared" si="39"/>
        <v>0</v>
      </c>
      <c r="BU260" s="469">
        <f t="shared" si="39"/>
        <v>0</v>
      </c>
      <c r="BV260" s="469">
        <f t="shared" si="39"/>
        <v>0</v>
      </c>
      <c r="BW260" s="469">
        <f t="shared" si="39"/>
        <v>0</v>
      </c>
      <c r="BX260" s="469">
        <f t="shared" si="39"/>
        <v>0</v>
      </c>
      <c r="BY260" s="469">
        <f t="shared" ref="BY260:CJ260" si="40">(IF($G24=BY$257,$L$245,0))</f>
        <v>0</v>
      </c>
      <c r="BZ260" s="469">
        <f t="shared" si="40"/>
        <v>0</v>
      </c>
      <c r="CA260" s="469">
        <f t="shared" si="40"/>
        <v>0</v>
      </c>
      <c r="CB260" s="469">
        <f t="shared" si="40"/>
        <v>0</v>
      </c>
      <c r="CC260" s="469">
        <f t="shared" si="40"/>
        <v>0</v>
      </c>
      <c r="CD260" s="469">
        <f t="shared" si="40"/>
        <v>0</v>
      </c>
      <c r="CE260" s="469">
        <f t="shared" si="40"/>
        <v>0</v>
      </c>
      <c r="CF260" s="469">
        <f t="shared" si="40"/>
        <v>0</v>
      </c>
      <c r="CG260" s="469">
        <f t="shared" si="40"/>
        <v>0</v>
      </c>
      <c r="CH260" s="469">
        <f t="shared" si="40"/>
        <v>0</v>
      </c>
      <c r="CI260" s="469">
        <f t="shared" si="40"/>
        <v>0</v>
      </c>
      <c r="CJ260" s="469">
        <f t="shared" si="40"/>
        <v>0</v>
      </c>
      <c r="CK260" s="469">
        <f t="shared" ref="CK260" si="41">(IF($G24=CK$257,$L$245,0))</f>
        <v>0</v>
      </c>
      <c r="CL260" s="469"/>
      <c r="CM260" s="471"/>
      <c r="CN260" s="469">
        <f t="shared" ref="CN260:CP284" si="42">(IF($G24=CN$257,$L$251,0))</f>
        <v>0</v>
      </c>
      <c r="CO260" s="469">
        <f t="shared" si="42"/>
        <v>0</v>
      </c>
      <c r="CP260" s="469">
        <f t="shared" si="42"/>
        <v>0</v>
      </c>
      <c r="CQ260" s="471"/>
      <c r="CR260" s="471"/>
      <c r="CS260" s="469">
        <f t="shared" ref="CS260:CY260" si="43">(IF($G24=CS$257,$L$250,0))</f>
        <v>0</v>
      </c>
      <c r="CT260" s="469">
        <f t="shared" si="43"/>
        <v>0</v>
      </c>
      <c r="CU260" s="469">
        <f t="shared" si="43"/>
        <v>0</v>
      </c>
      <c r="CV260" s="469">
        <f t="shared" si="43"/>
        <v>0</v>
      </c>
      <c r="CW260" s="469">
        <f t="shared" si="43"/>
        <v>0</v>
      </c>
      <c r="CX260" s="469">
        <f t="shared" si="43"/>
        <v>0</v>
      </c>
      <c r="CY260" s="469">
        <f t="shared" si="43"/>
        <v>0</v>
      </c>
      <c r="CZ260" s="471"/>
      <c r="DA260" s="471"/>
      <c r="DB260" s="469">
        <f t="shared" ref="DB260:DL260" si="44">(IF($G24=DB$257,$L$246,0))</f>
        <v>0</v>
      </c>
      <c r="DC260" s="469">
        <f t="shared" si="44"/>
        <v>0</v>
      </c>
      <c r="DD260" s="469">
        <f t="shared" si="44"/>
        <v>0</v>
      </c>
      <c r="DE260" s="469">
        <f t="shared" si="44"/>
        <v>0</v>
      </c>
      <c r="DF260" s="469">
        <f t="shared" si="44"/>
        <v>0</v>
      </c>
      <c r="DG260" s="469">
        <f t="shared" si="44"/>
        <v>0</v>
      </c>
      <c r="DH260" s="469">
        <f t="shared" si="44"/>
        <v>0</v>
      </c>
      <c r="DI260" s="469">
        <f t="shared" si="44"/>
        <v>0</v>
      </c>
      <c r="DJ260" s="469">
        <f t="shared" si="44"/>
        <v>0</v>
      </c>
      <c r="DK260" s="469">
        <f t="shared" si="44"/>
        <v>0</v>
      </c>
      <c r="DL260" s="469">
        <f t="shared" si="44"/>
        <v>0</v>
      </c>
      <c r="DM260" s="469">
        <f t="shared" ref="DM260:DT260" si="45">(IF($G24=DM$257,$L$246,0))</f>
        <v>0</v>
      </c>
      <c r="DN260" s="469">
        <f t="shared" si="45"/>
        <v>0</v>
      </c>
      <c r="DO260" s="469">
        <f t="shared" si="45"/>
        <v>0</v>
      </c>
      <c r="DP260" s="469">
        <f t="shared" si="45"/>
        <v>0</v>
      </c>
      <c r="DQ260" s="469">
        <f t="shared" si="45"/>
        <v>0</v>
      </c>
      <c r="DR260" s="469">
        <f t="shared" si="45"/>
        <v>0</v>
      </c>
      <c r="DS260" s="469">
        <f t="shared" si="45"/>
        <v>0</v>
      </c>
      <c r="DT260" s="469">
        <f t="shared" si="45"/>
        <v>0</v>
      </c>
      <c r="DU260" s="469"/>
      <c r="DV260" s="469"/>
      <c r="DW260" s="471"/>
      <c r="DX260" s="471"/>
      <c r="DY260" s="474">
        <f>SUM(AH260:DX260)</f>
        <v>0</v>
      </c>
      <c r="EA260" s="477">
        <f>DY260</f>
        <v>0</v>
      </c>
      <c r="EG260" s="479">
        <f t="shared" ref="EG260:EG284" si="46">P24</f>
        <v>9.9999999999999995E-8</v>
      </c>
      <c r="EH260" s="480">
        <f>IF(EG260&lt;30000,1500,0)</f>
        <v>1500</v>
      </c>
      <c r="EI260" s="480">
        <f>IF(AND(EG260&gt;29999,EG260&lt;50000),EG260*0.05,0)</f>
        <v>0</v>
      </c>
      <c r="EJ260" s="480">
        <f>IF(AND(EG260&gt;49999,EG260&lt;200000),EG260*0.05,0)</f>
        <v>0</v>
      </c>
      <c r="EK260" s="480">
        <f>IF(EG260&gt;199999,EG260*0.05,0)</f>
        <v>0</v>
      </c>
      <c r="EL260" s="480">
        <f>SUM(EH260:EK260)</f>
        <v>1500</v>
      </c>
      <c r="EM260" s="480"/>
      <c r="EN260" s="480">
        <f>IF(EG260&lt;200000,MAX(EG260*0.05,1500),0)</f>
        <v>1500</v>
      </c>
      <c r="EO260" s="484">
        <f>IF(EG260&gt;199999,EG260*0.05,0)</f>
        <v>0</v>
      </c>
      <c r="EP260" s="484">
        <f>SUM(EN260:EO260)</f>
        <v>1500</v>
      </c>
      <c r="EQ260" s="481"/>
      <c r="ER260" s="484">
        <f>MAX(EG260*0.05,1500)</f>
        <v>1500</v>
      </c>
      <c r="ES260" s="482">
        <f>ER260</f>
        <v>1500</v>
      </c>
      <c r="ET260" s="482">
        <f>IF(EA260=$L$244,EL260,0)</f>
        <v>0</v>
      </c>
      <c r="EU260" s="482">
        <f>IF(EA260=$L$248,EP260,0)</f>
        <v>0</v>
      </c>
      <c r="EV260" s="482">
        <f>IF(EA260&lt;$L$248,ES260,0)</f>
        <v>1500</v>
      </c>
      <c r="EW260" s="483">
        <f>SUM(ET260:EV260)</f>
        <v>1500</v>
      </c>
      <c r="EX260" s="398">
        <f>-(EV260-ES260)*0.02/1000</f>
        <v>0</v>
      </c>
      <c r="EY260" s="285" t="str">
        <f t="shared" ref="EY260:EY284" si="47">IF(P24&gt;($U$15*2),"X","")</f>
        <v>X</v>
      </c>
      <c r="EZ260" s="245">
        <f>-C260*0.35</f>
        <v>0</v>
      </c>
      <c r="FA260" s="245">
        <f>MAX(EZ260,EX260)</f>
        <v>0</v>
      </c>
    </row>
    <row r="261" spans="1:157" ht="15" customHeight="1">
      <c r="A261" s="244">
        <f t="shared" ref="A261:A284" si="48">IF(C261=2.5,0,-0.05)</f>
        <v>-0.05</v>
      </c>
      <c r="B261" s="282">
        <v>2</v>
      </c>
      <c r="C261" s="644">
        <f t="shared" si="26"/>
        <v>0</v>
      </c>
      <c r="D261" s="245">
        <f t="shared" si="27"/>
        <v>0</v>
      </c>
      <c r="E261" s="444">
        <f>E260</f>
        <v>0</v>
      </c>
      <c r="F261" s="442">
        <f>(PROPOSITION!AA22)+A261</f>
        <v>-0.05</v>
      </c>
      <c r="G261" s="442">
        <f t="shared" si="28"/>
        <v>0</v>
      </c>
      <c r="H261" s="445">
        <f>H260</f>
        <v>0</v>
      </c>
      <c r="I261" s="444">
        <f>I260</f>
        <v>-0.1</v>
      </c>
      <c r="J261" s="646">
        <f t="shared" si="29"/>
        <v>0</v>
      </c>
      <c r="K261" s="442">
        <f>IF(PROPOSITION!S22="N",-0.2,0)</f>
        <v>0</v>
      </c>
      <c r="L261" s="442">
        <f>L260</f>
        <v>0</v>
      </c>
      <c r="N261" s="442">
        <f>N260</f>
        <v>0</v>
      </c>
      <c r="O261" s="645">
        <f t="shared" ref="O261:O284" si="49">IF(U25="O",0.2,0)</f>
        <v>0</v>
      </c>
      <c r="P261" s="645">
        <f t="shared" ref="P261:P284" si="50">IF(V25="O",0.4,0)</f>
        <v>0</v>
      </c>
      <c r="Q261" s="442">
        <f t="shared" si="30"/>
        <v>0</v>
      </c>
      <c r="R261" s="444">
        <f t="shared" si="31"/>
        <v>0.2</v>
      </c>
      <c r="S261" s="444">
        <f>S260</f>
        <v>0</v>
      </c>
      <c r="T261" s="399">
        <f t="shared" si="32"/>
        <v>0</v>
      </c>
      <c r="U261" s="513">
        <f t="shared" ref="U261:U284" si="51">(T261+AB261)</f>
        <v>0</v>
      </c>
      <c r="V261" s="282"/>
      <c r="W261" s="476">
        <f t="shared" ref="W261:W284" si="52">SUM(E261:S261)</f>
        <v>4.9999999999999989E-2</v>
      </c>
      <c r="Y261" s="475">
        <f t="shared" ref="Y261:Y284" si="53">MAX(Z261,C261+W261)</f>
        <v>4.9999999999999989E-2</v>
      </c>
      <c r="Z261" s="475">
        <f t="shared" si="33"/>
        <v>0</v>
      </c>
      <c r="AA261" s="395">
        <v>0</v>
      </c>
      <c r="AB261" s="629">
        <f t="shared" ref="AB261:AB284" si="54">IF((AC261&gt;0)*AND(C261&gt;0),100,0)</f>
        <v>0</v>
      </c>
      <c r="AC261" s="612">
        <f>PROPOSITION!Y22</f>
        <v>0</v>
      </c>
      <c r="AD261" s="396">
        <f t="shared" ref="AD261:AD284" si="55">IF($AD$258=30000,750,0)</f>
        <v>0</v>
      </c>
      <c r="AE261" s="396"/>
      <c r="AF261" s="396"/>
      <c r="AH261" s="469">
        <f t="shared" si="34"/>
        <v>0</v>
      </c>
      <c r="AI261" s="469">
        <f t="shared" si="34"/>
        <v>0</v>
      </c>
      <c r="AJ261" s="469">
        <f t="shared" si="34"/>
        <v>0</v>
      </c>
      <c r="AK261" s="469">
        <f t="shared" si="34"/>
        <v>0</v>
      </c>
      <c r="AL261" s="469"/>
      <c r="AM261" s="469"/>
      <c r="AN261" s="469"/>
      <c r="AO261" s="469">
        <f t="shared" ref="AO261:AV261" si="56">(IF($G25=AO$257,$L$244,0))</f>
        <v>0</v>
      </c>
      <c r="AP261" s="469">
        <f t="shared" si="56"/>
        <v>0</v>
      </c>
      <c r="AQ261" s="469">
        <f t="shared" si="56"/>
        <v>0</v>
      </c>
      <c r="AR261" s="469">
        <f t="shared" si="56"/>
        <v>0</v>
      </c>
      <c r="AS261" s="469">
        <f t="shared" si="56"/>
        <v>0</v>
      </c>
      <c r="AT261" s="469">
        <f t="shared" si="56"/>
        <v>0</v>
      </c>
      <c r="AU261" s="469">
        <f t="shared" si="56"/>
        <v>0</v>
      </c>
      <c r="AV261" s="469">
        <f t="shared" si="56"/>
        <v>0</v>
      </c>
      <c r="AW261" s="469">
        <f t="shared" si="36"/>
        <v>0</v>
      </c>
      <c r="AX261" s="469">
        <f t="shared" si="36"/>
        <v>0</v>
      </c>
      <c r="AY261" s="469">
        <f t="shared" si="36"/>
        <v>0</v>
      </c>
      <c r="AZ261" s="469">
        <f t="shared" ref="AZ261:BB261" si="57">(IF($G25=AZ$257,$L$244,0))</f>
        <v>0</v>
      </c>
      <c r="BA261" s="469">
        <f t="shared" si="57"/>
        <v>0</v>
      </c>
      <c r="BB261" s="653">
        <f t="shared" si="57"/>
        <v>0</v>
      </c>
      <c r="BC261" s="653">
        <f t="shared" ref="BC261" si="58">(IF($G25=BC$257,$L$244,0))</f>
        <v>0</v>
      </c>
      <c r="BD261" s="469">
        <f t="shared" ref="BD261:BM261" si="59">(IF($G25=BD$257,$L$248,0))</f>
        <v>0</v>
      </c>
      <c r="BE261" s="469">
        <f t="shared" si="59"/>
        <v>0</v>
      </c>
      <c r="BF261" s="469">
        <f t="shared" si="59"/>
        <v>0</v>
      </c>
      <c r="BG261" s="469">
        <f t="shared" si="59"/>
        <v>0</v>
      </c>
      <c r="BH261" s="469">
        <f t="shared" si="59"/>
        <v>0</v>
      </c>
      <c r="BI261" s="469">
        <f t="shared" si="59"/>
        <v>0</v>
      </c>
      <c r="BJ261" s="469">
        <f t="shared" si="59"/>
        <v>0</v>
      </c>
      <c r="BK261" s="469">
        <f t="shared" si="59"/>
        <v>0</v>
      </c>
      <c r="BL261" s="469">
        <f t="shared" si="59"/>
        <v>0</v>
      </c>
      <c r="BM261" s="469">
        <f t="shared" si="59"/>
        <v>0</v>
      </c>
      <c r="BN261" s="470"/>
      <c r="BO261" s="470"/>
      <c r="BP261" s="469">
        <f t="shared" ref="BP261:BX261" si="60">(IF($G25=BP$257,$L$245,0))</f>
        <v>0</v>
      </c>
      <c r="BQ261" s="469">
        <f t="shared" si="60"/>
        <v>0</v>
      </c>
      <c r="BR261" s="469">
        <f t="shared" si="60"/>
        <v>0</v>
      </c>
      <c r="BS261" s="469">
        <f t="shared" si="60"/>
        <v>0</v>
      </c>
      <c r="BT261" s="469">
        <f t="shared" si="60"/>
        <v>0</v>
      </c>
      <c r="BU261" s="469">
        <f t="shared" si="60"/>
        <v>0</v>
      </c>
      <c r="BV261" s="469">
        <f t="shared" si="60"/>
        <v>0</v>
      </c>
      <c r="BW261" s="469">
        <f t="shared" si="60"/>
        <v>0</v>
      </c>
      <c r="BX261" s="469">
        <f t="shared" si="60"/>
        <v>0</v>
      </c>
      <c r="BY261" s="469">
        <f t="shared" ref="BY261:CJ261" si="61">(IF($G25=BY$257,$L$245,0))</f>
        <v>0</v>
      </c>
      <c r="BZ261" s="469">
        <f t="shared" si="61"/>
        <v>0</v>
      </c>
      <c r="CA261" s="469">
        <f t="shared" si="61"/>
        <v>0</v>
      </c>
      <c r="CB261" s="469">
        <f t="shared" si="61"/>
        <v>0</v>
      </c>
      <c r="CC261" s="469">
        <f t="shared" si="61"/>
        <v>0</v>
      </c>
      <c r="CD261" s="469">
        <f t="shared" si="61"/>
        <v>0</v>
      </c>
      <c r="CE261" s="469">
        <f t="shared" si="61"/>
        <v>0</v>
      </c>
      <c r="CF261" s="469">
        <f t="shared" si="61"/>
        <v>0</v>
      </c>
      <c r="CG261" s="469">
        <f t="shared" si="61"/>
        <v>0</v>
      </c>
      <c r="CH261" s="469">
        <f t="shared" si="61"/>
        <v>0</v>
      </c>
      <c r="CI261" s="469">
        <f t="shared" si="61"/>
        <v>0</v>
      </c>
      <c r="CJ261" s="469">
        <f t="shared" si="61"/>
        <v>0</v>
      </c>
      <c r="CK261" s="469">
        <f t="shared" ref="CK261" si="62">(IF($G25=CK$257,$L$245,0))</f>
        <v>0</v>
      </c>
      <c r="CL261" s="469"/>
      <c r="CM261" s="471"/>
      <c r="CN261" s="469">
        <f t="shared" si="42"/>
        <v>0</v>
      </c>
      <c r="CO261" s="469">
        <f t="shared" si="42"/>
        <v>0</v>
      </c>
      <c r="CP261" s="469">
        <f t="shared" si="42"/>
        <v>0</v>
      </c>
      <c r="CQ261" s="471"/>
      <c r="CR261" s="471"/>
      <c r="CS261" s="469">
        <f t="shared" ref="CS261:CY261" si="63">(IF($G25=CS$257,$L$250,0))</f>
        <v>0</v>
      </c>
      <c r="CT261" s="469">
        <f t="shared" si="63"/>
        <v>0</v>
      </c>
      <c r="CU261" s="469">
        <f t="shared" si="63"/>
        <v>0</v>
      </c>
      <c r="CV261" s="469">
        <f t="shared" si="63"/>
        <v>0</v>
      </c>
      <c r="CW261" s="469">
        <f t="shared" si="63"/>
        <v>0</v>
      </c>
      <c r="CX261" s="469">
        <f t="shared" si="63"/>
        <v>0</v>
      </c>
      <c r="CY261" s="469">
        <f t="shared" si="63"/>
        <v>0</v>
      </c>
      <c r="CZ261" s="471"/>
      <c r="DA261" s="471"/>
      <c r="DB261" s="469">
        <f t="shared" ref="DB261:DL261" si="64">(IF($G25=DB$257,$L$246,0))</f>
        <v>0</v>
      </c>
      <c r="DC261" s="469">
        <f t="shared" si="64"/>
        <v>0</v>
      </c>
      <c r="DD261" s="469">
        <f t="shared" si="64"/>
        <v>0</v>
      </c>
      <c r="DE261" s="469">
        <f t="shared" si="64"/>
        <v>0</v>
      </c>
      <c r="DF261" s="469">
        <f t="shared" si="64"/>
        <v>0</v>
      </c>
      <c r="DG261" s="469">
        <f t="shared" si="64"/>
        <v>0</v>
      </c>
      <c r="DH261" s="469">
        <f t="shared" si="64"/>
        <v>0</v>
      </c>
      <c r="DI261" s="469">
        <f t="shared" si="64"/>
        <v>0</v>
      </c>
      <c r="DJ261" s="469">
        <f t="shared" si="64"/>
        <v>0</v>
      </c>
      <c r="DK261" s="469">
        <f t="shared" si="64"/>
        <v>0</v>
      </c>
      <c r="DL261" s="469">
        <f t="shared" si="64"/>
        <v>0</v>
      </c>
      <c r="DM261" s="469">
        <f t="shared" ref="DM261:DT261" si="65">(IF($G25=DM$257,$L$246,0))</f>
        <v>0</v>
      </c>
      <c r="DN261" s="469">
        <f t="shared" si="65"/>
        <v>0</v>
      </c>
      <c r="DO261" s="469">
        <f t="shared" si="65"/>
        <v>0</v>
      </c>
      <c r="DP261" s="469">
        <f t="shared" si="65"/>
        <v>0</v>
      </c>
      <c r="DQ261" s="469">
        <f t="shared" si="65"/>
        <v>0</v>
      </c>
      <c r="DR261" s="469">
        <f t="shared" si="65"/>
        <v>0</v>
      </c>
      <c r="DS261" s="469">
        <f t="shared" si="65"/>
        <v>0</v>
      </c>
      <c r="DT261" s="469">
        <f t="shared" si="65"/>
        <v>0</v>
      </c>
      <c r="DU261" s="469"/>
      <c r="DV261" s="469"/>
      <c r="DW261" s="471"/>
      <c r="DX261" s="471"/>
      <c r="DY261" s="474">
        <f t="shared" ref="DY261:DY284" si="66">SUM(AH261:DX261)</f>
        <v>0</v>
      </c>
      <c r="EA261" s="477">
        <f t="shared" ref="EA261:EA284" si="67">DY261</f>
        <v>0</v>
      </c>
      <c r="EG261" s="479">
        <f t="shared" si="46"/>
        <v>9.9999999999999995E-8</v>
      </c>
      <c r="EH261" s="480">
        <f t="shared" ref="EH261:EH284" si="68">IF(EG261&lt;30000,1500,0)</f>
        <v>1500</v>
      </c>
      <c r="EI261" s="480">
        <f t="shared" ref="EI261:EI284" si="69">IF(AND(EG261&gt;29999,EG261&lt;50000),EG261*0.05,0)</f>
        <v>0</v>
      </c>
      <c r="EJ261" s="480">
        <f t="shared" ref="EJ261:EJ284" si="70">IF(AND(EG261&gt;49999,EG261&lt;200000),EG261*0.05,0)</f>
        <v>0</v>
      </c>
      <c r="EK261" s="480">
        <f t="shared" ref="EK261:EK284" si="71">IF(EG261&gt;199999,EG261*0.05,0)</f>
        <v>0</v>
      </c>
      <c r="EL261" s="480">
        <f t="shared" ref="EL261:EL284" si="72">SUM(EH261:EK261)</f>
        <v>1500</v>
      </c>
      <c r="EM261" s="480"/>
      <c r="EN261" s="480">
        <f t="shared" ref="EN261:EN284" si="73">IF(EG261&lt;200000,MAX(EG261*0.05,1500),0)</f>
        <v>1500</v>
      </c>
      <c r="EO261" s="655">
        <f t="shared" ref="EO261:EO284" si="74">IF(EG261&gt;199999,EG261*0.05,0)</f>
        <v>0</v>
      </c>
      <c r="EP261" s="655">
        <f t="shared" ref="EP261:EP284" si="75">SUM(EN261:EO261)</f>
        <v>1500</v>
      </c>
      <c r="EQ261" s="481"/>
      <c r="ER261" s="655">
        <f t="shared" ref="ER261:ER284" si="76">MAX(EG261*0.05,1500)</f>
        <v>1500</v>
      </c>
      <c r="ES261" s="656">
        <f t="shared" ref="ES261:ES284" si="77">ER261</f>
        <v>1500</v>
      </c>
      <c r="ET261" s="656">
        <f t="shared" ref="ET261:ET284" si="78">IF(EA261=$L$244,EL261,0)</f>
        <v>0</v>
      </c>
      <c r="EU261" s="656">
        <f t="shared" ref="EU261:EU284" si="79">IF(EA261=$L$248,EP261,0)</f>
        <v>0</v>
      </c>
      <c r="EV261" s="656">
        <f t="shared" ref="EV261:EV284" si="80">IF(EA261&lt;$L$248,ES261,0)</f>
        <v>1500</v>
      </c>
      <c r="EW261" s="483">
        <f t="shared" ref="EW261:EW284" si="81">SUM(ET261:EV261)</f>
        <v>1500</v>
      </c>
      <c r="EX261" s="398">
        <f t="shared" ref="EX261:EX284" si="82">-(EV261-ES261)*0.02/1000</f>
        <v>0</v>
      </c>
      <c r="EY261" s="285" t="str">
        <f t="shared" si="47"/>
        <v>X</v>
      </c>
      <c r="EZ261" s="245">
        <f t="shared" ref="EZ261:EZ284" si="83">-C261*0.35</f>
        <v>0</v>
      </c>
      <c r="FA261" s="245">
        <f t="shared" ref="FA261:FA284" si="84">MAX(EZ261,EX261)</f>
        <v>0</v>
      </c>
    </row>
    <row r="262" spans="1:157" ht="15" customHeight="1">
      <c r="A262" s="244">
        <f t="shared" si="48"/>
        <v>-0.05</v>
      </c>
      <c r="B262" s="282">
        <v>3</v>
      </c>
      <c r="C262" s="644">
        <f t="shared" si="26"/>
        <v>0</v>
      </c>
      <c r="D262" s="245">
        <f t="shared" si="27"/>
        <v>0</v>
      </c>
      <c r="E262" s="444">
        <f t="shared" ref="E262:E284" si="85">E261</f>
        <v>0</v>
      </c>
      <c r="F262" s="442">
        <f>(PROPOSITION!AA23)+A262</f>
        <v>-0.05</v>
      </c>
      <c r="G262" s="442">
        <f t="shared" si="28"/>
        <v>0</v>
      </c>
      <c r="H262" s="445">
        <f t="shared" ref="H262:I284" si="86">H261</f>
        <v>0</v>
      </c>
      <c r="I262" s="444">
        <f>I261</f>
        <v>-0.1</v>
      </c>
      <c r="J262" s="646">
        <f t="shared" si="29"/>
        <v>0</v>
      </c>
      <c r="K262" s="442">
        <f>IF(PROPOSITION!S23="N",-0.2,0)</f>
        <v>0</v>
      </c>
      <c r="L262" s="442">
        <f t="shared" ref="L262:L284" si="87">L261</f>
        <v>0</v>
      </c>
      <c r="N262" s="442">
        <f t="shared" ref="N262:N284" si="88">N261</f>
        <v>0</v>
      </c>
      <c r="O262" s="645">
        <f t="shared" si="49"/>
        <v>0</v>
      </c>
      <c r="P262" s="645">
        <f t="shared" si="50"/>
        <v>0</v>
      </c>
      <c r="Q262" s="442">
        <f t="shared" si="30"/>
        <v>0</v>
      </c>
      <c r="R262" s="444">
        <f t="shared" si="31"/>
        <v>0.2</v>
      </c>
      <c r="S262" s="444">
        <f t="shared" ref="S262:S284" si="89">S261</f>
        <v>0</v>
      </c>
      <c r="T262" s="399">
        <f t="shared" si="32"/>
        <v>0</v>
      </c>
      <c r="U262" s="513">
        <f t="shared" si="51"/>
        <v>0</v>
      </c>
      <c r="V262" s="282"/>
      <c r="W262" s="476">
        <f t="shared" si="52"/>
        <v>4.9999999999999989E-2</v>
      </c>
      <c r="Y262" s="475">
        <f t="shared" si="53"/>
        <v>4.9999999999999989E-2</v>
      </c>
      <c r="Z262" s="475">
        <f t="shared" si="33"/>
        <v>0</v>
      </c>
      <c r="AA262" s="395">
        <v>0</v>
      </c>
      <c r="AB262" s="629">
        <f t="shared" si="54"/>
        <v>0</v>
      </c>
      <c r="AC262" s="612">
        <f>PROPOSITION!Y23</f>
        <v>0</v>
      </c>
      <c r="AD262" s="396">
        <f t="shared" si="55"/>
        <v>0</v>
      </c>
      <c r="AE262" s="396"/>
      <c r="AF262" s="396"/>
      <c r="AH262" s="469">
        <f t="shared" si="34"/>
        <v>0</v>
      </c>
      <c r="AI262" s="469">
        <f t="shared" si="34"/>
        <v>0</v>
      </c>
      <c r="AJ262" s="469">
        <f t="shared" si="34"/>
        <v>0</v>
      </c>
      <c r="AK262" s="469">
        <f t="shared" si="34"/>
        <v>0</v>
      </c>
      <c r="AL262" s="469"/>
      <c r="AM262" s="469"/>
      <c r="AN262" s="469"/>
      <c r="AO262" s="469">
        <f t="shared" ref="AO262:AV262" si="90">(IF($G26=AO$257,$L$244,0))</f>
        <v>0</v>
      </c>
      <c r="AP262" s="469">
        <f t="shared" si="90"/>
        <v>0</v>
      </c>
      <c r="AQ262" s="469">
        <f t="shared" si="90"/>
        <v>0</v>
      </c>
      <c r="AR262" s="469">
        <f t="shared" si="90"/>
        <v>0</v>
      </c>
      <c r="AS262" s="469">
        <f t="shared" si="90"/>
        <v>0</v>
      </c>
      <c r="AT262" s="469">
        <f t="shared" si="90"/>
        <v>0</v>
      </c>
      <c r="AU262" s="469">
        <f t="shared" si="90"/>
        <v>0</v>
      </c>
      <c r="AV262" s="469">
        <f t="shared" si="90"/>
        <v>0</v>
      </c>
      <c r="AW262" s="469">
        <f t="shared" si="36"/>
        <v>0</v>
      </c>
      <c r="AX262" s="469">
        <f t="shared" si="36"/>
        <v>0</v>
      </c>
      <c r="AY262" s="469">
        <f t="shared" si="36"/>
        <v>0</v>
      </c>
      <c r="AZ262" s="469">
        <f t="shared" ref="AZ262:BB262" si="91">(IF($G26=AZ$257,$L$244,0))</f>
        <v>0</v>
      </c>
      <c r="BA262" s="469">
        <f t="shared" si="91"/>
        <v>0</v>
      </c>
      <c r="BB262" s="653">
        <f t="shared" si="91"/>
        <v>0</v>
      </c>
      <c r="BC262" s="653">
        <f t="shared" ref="BC262" si="92">(IF($G26=BC$257,$L$244,0))</f>
        <v>0</v>
      </c>
      <c r="BD262" s="469">
        <f t="shared" ref="BD262:BM262" si="93">(IF($G26=BD$257,$L$248,0))</f>
        <v>0</v>
      </c>
      <c r="BE262" s="469">
        <f t="shared" si="93"/>
        <v>0</v>
      </c>
      <c r="BF262" s="469">
        <f t="shared" si="93"/>
        <v>0</v>
      </c>
      <c r="BG262" s="469">
        <f t="shared" si="93"/>
        <v>0</v>
      </c>
      <c r="BH262" s="469">
        <f t="shared" si="93"/>
        <v>0</v>
      </c>
      <c r="BI262" s="469">
        <f t="shared" si="93"/>
        <v>0</v>
      </c>
      <c r="BJ262" s="469">
        <f t="shared" si="93"/>
        <v>0</v>
      </c>
      <c r="BK262" s="469">
        <f t="shared" si="93"/>
        <v>0</v>
      </c>
      <c r="BL262" s="469">
        <f t="shared" si="93"/>
        <v>0</v>
      </c>
      <c r="BM262" s="469">
        <f t="shared" si="93"/>
        <v>0</v>
      </c>
      <c r="BN262" s="470"/>
      <c r="BO262" s="470"/>
      <c r="BP262" s="469">
        <f t="shared" ref="BP262:BX262" si="94">(IF($G26=BP$257,$L$245,0))</f>
        <v>0</v>
      </c>
      <c r="BQ262" s="469">
        <f t="shared" si="94"/>
        <v>0</v>
      </c>
      <c r="BR262" s="469">
        <f t="shared" si="94"/>
        <v>0</v>
      </c>
      <c r="BS262" s="469">
        <f t="shared" si="94"/>
        <v>0</v>
      </c>
      <c r="BT262" s="469">
        <f t="shared" si="94"/>
        <v>0</v>
      </c>
      <c r="BU262" s="469">
        <f t="shared" si="94"/>
        <v>0</v>
      </c>
      <c r="BV262" s="469">
        <f t="shared" si="94"/>
        <v>0</v>
      </c>
      <c r="BW262" s="469">
        <f t="shared" si="94"/>
        <v>0</v>
      </c>
      <c r="BX262" s="469">
        <f t="shared" si="94"/>
        <v>0</v>
      </c>
      <c r="BY262" s="469">
        <f t="shared" ref="BY262:CJ262" si="95">(IF($G26=BY$257,$L$245,0))</f>
        <v>0</v>
      </c>
      <c r="BZ262" s="469">
        <f t="shared" si="95"/>
        <v>0</v>
      </c>
      <c r="CA262" s="469">
        <f t="shared" si="95"/>
        <v>0</v>
      </c>
      <c r="CB262" s="469">
        <f t="shared" si="95"/>
        <v>0</v>
      </c>
      <c r="CC262" s="469">
        <f t="shared" si="95"/>
        <v>0</v>
      </c>
      <c r="CD262" s="469">
        <f t="shared" si="95"/>
        <v>0</v>
      </c>
      <c r="CE262" s="469">
        <f t="shared" si="95"/>
        <v>0</v>
      </c>
      <c r="CF262" s="469">
        <f t="shared" si="95"/>
        <v>0</v>
      </c>
      <c r="CG262" s="469">
        <f t="shared" si="95"/>
        <v>0</v>
      </c>
      <c r="CH262" s="469">
        <f t="shared" si="95"/>
        <v>0</v>
      </c>
      <c r="CI262" s="469">
        <f t="shared" si="95"/>
        <v>0</v>
      </c>
      <c r="CJ262" s="469">
        <f t="shared" si="95"/>
        <v>0</v>
      </c>
      <c r="CK262" s="469">
        <f t="shared" ref="CK262" si="96">(IF($G26=CK$257,$L$245,0))</f>
        <v>0</v>
      </c>
      <c r="CL262" s="469"/>
      <c r="CM262" s="471"/>
      <c r="CN262" s="469">
        <f t="shared" si="42"/>
        <v>0</v>
      </c>
      <c r="CO262" s="469">
        <f t="shared" si="42"/>
        <v>0</v>
      </c>
      <c r="CP262" s="469">
        <f t="shared" si="42"/>
        <v>0</v>
      </c>
      <c r="CQ262" s="471"/>
      <c r="CR262" s="471"/>
      <c r="CS262" s="469">
        <f t="shared" ref="CS262:CY262" si="97">(IF($G26=CS$257,$L$250,0))</f>
        <v>0</v>
      </c>
      <c r="CT262" s="469">
        <f t="shared" si="97"/>
        <v>0</v>
      </c>
      <c r="CU262" s="469">
        <f t="shared" si="97"/>
        <v>0</v>
      </c>
      <c r="CV262" s="469">
        <f t="shared" si="97"/>
        <v>0</v>
      </c>
      <c r="CW262" s="469">
        <f t="shared" si="97"/>
        <v>0</v>
      </c>
      <c r="CX262" s="469">
        <f t="shared" si="97"/>
        <v>0</v>
      </c>
      <c r="CY262" s="469">
        <f t="shared" si="97"/>
        <v>0</v>
      </c>
      <c r="CZ262" s="471"/>
      <c r="DA262" s="471"/>
      <c r="DB262" s="469">
        <f t="shared" ref="DB262:DL262" si="98">(IF($G26=DB$257,$L$246,0))</f>
        <v>0</v>
      </c>
      <c r="DC262" s="469">
        <f t="shared" si="98"/>
        <v>0</v>
      </c>
      <c r="DD262" s="469">
        <f t="shared" si="98"/>
        <v>0</v>
      </c>
      <c r="DE262" s="469">
        <f t="shared" si="98"/>
        <v>0</v>
      </c>
      <c r="DF262" s="469">
        <f t="shared" si="98"/>
        <v>0</v>
      </c>
      <c r="DG262" s="469">
        <f t="shared" si="98"/>
        <v>0</v>
      </c>
      <c r="DH262" s="469">
        <f t="shared" si="98"/>
        <v>0</v>
      </c>
      <c r="DI262" s="469">
        <f t="shared" si="98"/>
        <v>0</v>
      </c>
      <c r="DJ262" s="469">
        <f t="shared" si="98"/>
        <v>0</v>
      </c>
      <c r="DK262" s="469">
        <f t="shared" si="98"/>
        <v>0</v>
      </c>
      <c r="DL262" s="469">
        <f t="shared" si="98"/>
        <v>0</v>
      </c>
      <c r="DM262" s="469">
        <f t="shared" ref="DM262:DT262" si="99">(IF($G26=DM$257,$L$246,0))</f>
        <v>0</v>
      </c>
      <c r="DN262" s="469">
        <f t="shared" si="99"/>
        <v>0</v>
      </c>
      <c r="DO262" s="469">
        <f t="shared" si="99"/>
        <v>0</v>
      </c>
      <c r="DP262" s="469">
        <f t="shared" si="99"/>
        <v>0</v>
      </c>
      <c r="DQ262" s="469">
        <f t="shared" si="99"/>
        <v>0</v>
      </c>
      <c r="DR262" s="469">
        <f t="shared" si="99"/>
        <v>0</v>
      </c>
      <c r="DS262" s="469">
        <f t="shared" si="99"/>
        <v>0</v>
      </c>
      <c r="DT262" s="469">
        <f t="shared" si="99"/>
        <v>0</v>
      </c>
      <c r="DU262" s="469"/>
      <c r="DV262" s="469"/>
      <c r="DW262" s="471"/>
      <c r="DX262" s="471"/>
      <c r="DY262" s="474">
        <f t="shared" si="66"/>
        <v>0</v>
      </c>
      <c r="EA262" s="477">
        <f t="shared" si="67"/>
        <v>0</v>
      </c>
      <c r="EG262" s="479">
        <f t="shared" si="46"/>
        <v>9.9999999999999995E-8</v>
      </c>
      <c r="EH262" s="480">
        <f t="shared" si="68"/>
        <v>1500</v>
      </c>
      <c r="EI262" s="480">
        <f t="shared" si="69"/>
        <v>0</v>
      </c>
      <c r="EJ262" s="480">
        <f t="shared" si="70"/>
        <v>0</v>
      </c>
      <c r="EK262" s="480">
        <f t="shared" si="71"/>
        <v>0</v>
      </c>
      <c r="EL262" s="480">
        <f t="shared" si="72"/>
        <v>1500</v>
      </c>
      <c r="EM262" s="480"/>
      <c r="EN262" s="480">
        <f t="shared" si="73"/>
        <v>1500</v>
      </c>
      <c r="EO262" s="655">
        <f t="shared" si="74"/>
        <v>0</v>
      </c>
      <c r="EP262" s="655">
        <f t="shared" si="75"/>
        <v>1500</v>
      </c>
      <c r="EQ262" s="481"/>
      <c r="ER262" s="655">
        <f t="shared" si="76"/>
        <v>1500</v>
      </c>
      <c r="ES262" s="656">
        <f t="shared" si="77"/>
        <v>1500</v>
      </c>
      <c r="ET262" s="656">
        <f t="shared" si="78"/>
        <v>0</v>
      </c>
      <c r="EU262" s="656">
        <f t="shared" si="79"/>
        <v>0</v>
      </c>
      <c r="EV262" s="656">
        <f t="shared" si="80"/>
        <v>1500</v>
      </c>
      <c r="EW262" s="483">
        <f t="shared" si="81"/>
        <v>1500</v>
      </c>
      <c r="EX262" s="398">
        <f t="shared" si="82"/>
        <v>0</v>
      </c>
      <c r="EY262" s="285" t="str">
        <f t="shared" si="47"/>
        <v>X</v>
      </c>
      <c r="EZ262" s="245">
        <f t="shared" si="83"/>
        <v>0</v>
      </c>
      <c r="FA262" s="245">
        <f t="shared" si="84"/>
        <v>0</v>
      </c>
    </row>
    <row r="263" spans="1:157" ht="15" customHeight="1">
      <c r="A263" s="244">
        <f t="shared" si="48"/>
        <v>-0.05</v>
      </c>
      <c r="B263" s="282">
        <v>4</v>
      </c>
      <c r="C263" s="644">
        <f t="shared" si="26"/>
        <v>0</v>
      </c>
      <c r="D263" s="245">
        <f t="shared" si="27"/>
        <v>0</v>
      </c>
      <c r="E263" s="444">
        <f t="shared" si="85"/>
        <v>0</v>
      </c>
      <c r="F263" s="442">
        <f>(PROPOSITION!AA24)+A263</f>
        <v>-0.05</v>
      </c>
      <c r="G263" s="442">
        <f t="shared" si="28"/>
        <v>0</v>
      </c>
      <c r="H263" s="445">
        <f t="shared" si="86"/>
        <v>0</v>
      </c>
      <c r="I263" s="444">
        <f t="shared" si="86"/>
        <v>-0.1</v>
      </c>
      <c r="J263" s="646">
        <f t="shared" si="29"/>
        <v>0</v>
      </c>
      <c r="K263" s="442">
        <f>IF(PROPOSITION!S24="N",-0.2,0)</f>
        <v>0</v>
      </c>
      <c r="L263" s="442">
        <f t="shared" si="87"/>
        <v>0</v>
      </c>
      <c r="N263" s="442">
        <f t="shared" si="88"/>
        <v>0</v>
      </c>
      <c r="O263" s="645">
        <f t="shared" si="49"/>
        <v>0</v>
      </c>
      <c r="P263" s="645">
        <f t="shared" si="50"/>
        <v>0</v>
      </c>
      <c r="Q263" s="442">
        <f t="shared" si="30"/>
        <v>0</v>
      </c>
      <c r="R263" s="444">
        <f t="shared" si="31"/>
        <v>0.2</v>
      </c>
      <c r="S263" s="444">
        <f t="shared" si="89"/>
        <v>0</v>
      </c>
      <c r="T263" s="399">
        <f t="shared" si="32"/>
        <v>0</v>
      </c>
      <c r="U263" s="513">
        <f t="shared" si="51"/>
        <v>0</v>
      </c>
      <c r="V263" s="282"/>
      <c r="W263" s="476">
        <f t="shared" si="52"/>
        <v>4.9999999999999989E-2</v>
      </c>
      <c r="Y263" s="475">
        <f t="shared" si="53"/>
        <v>4.9999999999999989E-2</v>
      </c>
      <c r="Z263" s="475">
        <f t="shared" si="33"/>
        <v>0</v>
      </c>
      <c r="AA263" s="395">
        <v>0</v>
      </c>
      <c r="AB263" s="629">
        <f t="shared" si="54"/>
        <v>0</v>
      </c>
      <c r="AC263" s="612">
        <f>PROPOSITION!Y24</f>
        <v>0</v>
      </c>
      <c r="AD263" s="396">
        <f t="shared" si="55"/>
        <v>0</v>
      </c>
      <c r="AE263" s="396"/>
      <c r="AF263" s="396"/>
      <c r="AH263" s="469">
        <f t="shared" si="34"/>
        <v>0</v>
      </c>
      <c r="AI263" s="469">
        <f t="shared" si="34"/>
        <v>0</v>
      </c>
      <c r="AJ263" s="469">
        <f t="shared" si="34"/>
        <v>0</v>
      </c>
      <c r="AK263" s="469">
        <f t="shared" si="34"/>
        <v>0</v>
      </c>
      <c r="AL263" s="469"/>
      <c r="AM263" s="469"/>
      <c r="AN263" s="469"/>
      <c r="AO263" s="469">
        <f t="shared" ref="AO263:AV263" si="100">(IF($G27=AO$257,$L$244,0))</f>
        <v>0</v>
      </c>
      <c r="AP263" s="469">
        <f t="shared" si="100"/>
        <v>0</v>
      </c>
      <c r="AQ263" s="469">
        <f t="shared" si="100"/>
        <v>0</v>
      </c>
      <c r="AR263" s="469">
        <f t="shared" si="100"/>
        <v>0</v>
      </c>
      <c r="AS263" s="469">
        <f t="shared" si="100"/>
        <v>0</v>
      </c>
      <c r="AT263" s="469">
        <f t="shared" si="100"/>
        <v>0</v>
      </c>
      <c r="AU263" s="469">
        <f t="shared" si="100"/>
        <v>0</v>
      </c>
      <c r="AV263" s="469">
        <f t="shared" si="100"/>
        <v>0</v>
      </c>
      <c r="AW263" s="469">
        <f t="shared" si="36"/>
        <v>0</v>
      </c>
      <c r="AX263" s="469">
        <f t="shared" si="36"/>
        <v>0</v>
      </c>
      <c r="AY263" s="469">
        <f t="shared" si="36"/>
        <v>0</v>
      </c>
      <c r="AZ263" s="469">
        <f t="shared" ref="AZ263:BB263" si="101">(IF($G27=AZ$257,$L$244,0))</f>
        <v>0</v>
      </c>
      <c r="BA263" s="469">
        <f t="shared" si="101"/>
        <v>0</v>
      </c>
      <c r="BB263" s="653">
        <f t="shared" si="101"/>
        <v>0</v>
      </c>
      <c r="BC263" s="653">
        <f t="shared" ref="BC263" si="102">(IF($G27=BC$257,$L$244,0))</f>
        <v>0</v>
      </c>
      <c r="BD263" s="469">
        <f t="shared" ref="BD263:BM263" si="103">(IF($G27=BD$257,$L$248,0))</f>
        <v>0</v>
      </c>
      <c r="BE263" s="469">
        <f t="shared" si="103"/>
        <v>0</v>
      </c>
      <c r="BF263" s="469">
        <f t="shared" si="103"/>
        <v>0</v>
      </c>
      <c r="BG263" s="469">
        <f t="shared" si="103"/>
        <v>0</v>
      </c>
      <c r="BH263" s="469">
        <f t="shared" si="103"/>
        <v>0</v>
      </c>
      <c r="BI263" s="469">
        <f t="shared" si="103"/>
        <v>0</v>
      </c>
      <c r="BJ263" s="469">
        <f t="shared" si="103"/>
        <v>0</v>
      </c>
      <c r="BK263" s="469">
        <f t="shared" si="103"/>
        <v>0</v>
      </c>
      <c r="BL263" s="469">
        <f t="shared" si="103"/>
        <v>0</v>
      </c>
      <c r="BM263" s="469">
        <f t="shared" si="103"/>
        <v>0</v>
      </c>
      <c r="BN263" s="470"/>
      <c r="BO263" s="470"/>
      <c r="BP263" s="469">
        <f t="shared" ref="BP263:BX263" si="104">(IF($G27=BP$257,$L$245,0))</f>
        <v>0</v>
      </c>
      <c r="BQ263" s="469">
        <f t="shared" si="104"/>
        <v>0</v>
      </c>
      <c r="BR263" s="469">
        <f t="shared" si="104"/>
        <v>0</v>
      </c>
      <c r="BS263" s="469">
        <f t="shared" si="104"/>
        <v>0</v>
      </c>
      <c r="BT263" s="469">
        <f t="shared" si="104"/>
        <v>0</v>
      </c>
      <c r="BU263" s="469">
        <f t="shared" si="104"/>
        <v>0</v>
      </c>
      <c r="BV263" s="469">
        <f t="shared" si="104"/>
        <v>0</v>
      </c>
      <c r="BW263" s="469">
        <f t="shared" si="104"/>
        <v>0</v>
      </c>
      <c r="BX263" s="469">
        <f t="shared" si="104"/>
        <v>0</v>
      </c>
      <c r="BY263" s="469">
        <f t="shared" ref="BY263:CJ263" si="105">(IF($G27=BY$257,$L$245,0))</f>
        <v>0</v>
      </c>
      <c r="BZ263" s="469">
        <f t="shared" si="105"/>
        <v>0</v>
      </c>
      <c r="CA263" s="469">
        <f t="shared" si="105"/>
        <v>0</v>
      </c>
      <c r="CB263" s="469">
        <f t="shared" si="105"/>
        <v>0</v>
      </c>
      <c r="CC263" s="469">
        <f t="shared" si="105"/>
        <v>0</v>
      </c>
      <c r="CD263" s="469">
        <f t="shared" si="105"/>
        <v>0</v>
      </c>
      <c r="CE263" s="469">
        <f t="shared" si="105"/>
        <v>0</v>
      </c>
      <c r="CF263" s="469">
        <f t="shared" si="105"/>
        <v>0</v>
      </c>
      <c r="CG263" s="469">
        <f t="shared" si="105"/>
        <v>0</v>
      </c>
      <c r="CH263" s="469">
        <f t="shared" si="105"/>
        <v>0</v>
      </c>
      <c r="CI263" s="469">
        <f t="shared" si="105"/>
        <v>0</v>
      </c>
      <c r="CJ263" s="469">
        <f t="shared" si="105"/>
        <v>0</v>
      </c>
      <c r="CK263" s="469">
        <f t="shared" ref="CK263" si="106">(IF($G27=CK$257,$L$245,0))</f>
        <v>0</v>
      </c>
      <c r="CL263" s="469"/>
      <c r="CM263" s="471"/>
      <c r="CN263" s="469">
        <f t="shared" si="42"/>
        <v>0</v>
      </c>
      <c r="CO263" s="469">
        <f t="shared" si="42"/>
        <v>0</v>
      </c>
      <c r="CP263" s="469">
        <f t="shared" si="42"/>
        <v>0</v>
      </c>
      <c r="CQ263" s="471"/>
      <c r="CR263" s="471"/>
      <c r="CS263" s="469">
        <f t="shared" ref="CS263:CY263" si="107">(IF($G27=CS$257,$L$250,0))</f>
        <v>0</v>
      </c>
      <c r="CT263" s="469">
        <f t="shared" si="107"/>
        <v>0</v>
      </c>
      <c r="CU263" s="469">
        <f t="shared" si="107"/>
        <v>0</v>
      </c>
      <c r="CV263" s="469">
        <f t="shared" si="107"/>
        <v>0</v>
      </c>
      <c r="CW263" s="469">
        <f t="shared" si="107"/>
        <v>0</v>
      </c>
      <c r="CX263" s="469">
        <f t="shared" si="107"/>
        <v>0</v>
      </c>
      <c r="CY263" s="469">
        <f t="shared" si="107"/>
        <v>0</v>
      </c>
      <c r="CZ263" s="471"/>
      <c r="DA263" s="471"/>
      <c r="DB263" s="469">
        <f t="shared" ref="DB263:DL263" si="108">(IF($G27=DB$257,$L$246,0))</f>
        <v>0</v>
      </c>
      <c r="DC263" s="469">
        <f t="shared" si="108"/>
        <v>0</v>
      </c>
      <c r="DD263" s="469">
        <f t="shared" si="108"/>
        <v>0</v>
      </c>
      <c r="DE263" s="469">
        <f t="shared" si="108"/>
        <v>0</v>
      </c>
      <c r="DF263" s="469">
        <f t="shared" si="108"/>
        <v>0</v>
      </c>
      <c r="DG263" s="469">
        <f t="shared" si="108"/>
        <v>0</v>
      </c>
      <c r="DH263" s="469">
        <f t="shared" si="108"/>
        <v>0</v>
      </c>
      <c r="DI263" s="469">
        <f t="shared" si="108"/>
        <v>0</v>
      </c>
      <c r="DJ263" s="469">
        <f t="shared" si="108"/>
        <v>0</v>
      </c>
      <c r="DK263" s="469">
        <f t="shared" si="108"/>
        <v>0</v>
      </c>
      <c r="DL263" s="469">
        <f t="shared" si="108"/>
        <v>0</v>
      </c>
      <c r="DM263" s="469">
        <f t="shared" ref="DM263:DT263" si="109">(IF($G27=DM$257,$L$246,0))</f>
        <v>0</v>
      </c>
      <c r="DN263" s="469">
        <f t="shared" si="109"/>
        <v>0</v>
      </c>
      <c r="DO263" s="469">
        <f t="shared" si="109"/>
        <v>0</v>
      </c>
      <c r="DP263" s="469">
        <f t="shared" si="109"/>
        <v>0</v>
      </c>
      <c r="DQ263" s="469">
        <f t="shared" si="109"/>
        <v>0</v>
      </c>
      <c r="DR263" s="469">
        <f t="shared" si="109"/>
        <v>0</v>
      </c>
      <c r="DS263" s="469">
        <f t="shared" si="109"/>
        <v>0</v>
      </c>
      <c r="DT263" s="469">
        <f t="shared" si="109"/>
        <v>0</v>
      </c>
      <c r="DU263" s="469"/>
      <c r="DV263" s="469"/>
      <c r="DW263" s="471"/>
      <c r="DX263" s="471"/>
      <c r="DY263" s="474">
        <f t="shared" si="66"/>
        <v>0</v>
      </c>
      <c r="EA263" s="477">
        <f t="shared" si="67"/>
        <v>0</v>
      </c>
      <c r="EG263" s="479">
        <f t="shared" si="46"/>
        <v>9.9999999999999995E-8</v>
      </c>
      <c r="EH263" s="480">
        <f t="shared" si="68"/>
        <v>1500</v>
      </c>
      <c r="EI263" s="480">
        <f t="shared" si="69"/>
        <v>0</v>
      </c>
      <c r="EJ263" s="480">
        <f t="shared" si="70"/>
        <v>0</v>
      </c>
      <c r="EK263" s="480">
        <f t="shared" si="71"/>
        <v>0</v>
      </c>
      <c r="EL263" s="480">
        <f t="shared" si="72"/>
        <v>1500</v>
      </c>
      <c r="EM263" s="480"/>
      <c r="EN263" s="480">
        <f t="shared" si="73"/>
        <v>1500</v>
      </c>
      <c r="EO263" s="655">
        <f t="shared" si="74"/>
        <v>0</v>
      </c>
      <c r="EP263" s="655">
        <f t="shared" si="75"/>
        <v>1500</v>
      </c>
      <c r="EQ263" s="481"/>
      <c r="ER263" s="655">
        <f t="shared" si="76"/>
        <v>1500</v>
      </c>
      <c r="ES263" s="656">
        <f t="shared" si="77"/>
        <v>1500</v>
      </c>
      <c r="ET263" s="656">
        <f t="shared" si="78"/>
        <v>0</v>
      </c>
      <c r="EU263" s="656">
        <f t="shared" si="79"/>
        <v>0</v>
      </c>
      <c r="EV263" s="656">
        <f t="shared" si="80"/>
        <v>1500</v>
      </c>
      <c r="EW263" s="483">
        <f t="shared" si="81"/>
        <v>1500</v>
      </c>
      <c r="EX263" s="398">
        <f t="shared" si="82"/>
        <v>0</v>
      </c>
      <c r="EY263" s="285" t="str">
        <f t="shared" si="47"/>
        <v>X</v>
      </c>
      <c r="EZ263" s="245">
        <f t="shared" si="83"/>
        <v>0</v>
      </c>
      <c r="FA263" s="245">
        <f t="shared" si="84"/>
        <v>0</v>
      </c>
    </row>
    <row r="264" spans="1:157" ht="15" customHeight="1">
      <c r="A264" s="244">
        <f t="shared" si="48"/>
        <v>-0.05</v>
      </c>
      <c r="B264" s="282">
        <v>5</v>
      </c>
      <c r="C264" s="644">
        <f t="shared" si="26"/>
        <v>0</v>
      </c>
      <c r="D264" s="245">
        <f t="shared" si="27"/>
        <v>0</v>
      </c>
      <c r="E264" s="444">
        <f t="shared" si="85"/>
        <v>0</v>
      </c>
      <c r="F264" s="442">
        <f>(PROPOSITION!AA25)+A264</f>
        <v>-0.05</v>
      </c>
      <c r="G264" s="442">
        <f t="shared" si="28"/>
        <v>0</v>
      </c>
      <c r="H264" s="445">
        <f t="shared" si="86"/>
        <v>0</v>
      </c>
      <c r="I264" s="444">
        <f t="shared" si="86"/>
        <v>-0.1</v>
      </c>
      <c r="J264" s="646">
        <f t="shared" si="29"/>
        <v>0</v>
      </c>
      <c r="K264" s="442">
        <f>IF(PROPOSITION!S25="N",-0.2,0)</f>
        <v>0</v>
      </c>
      <c r="L264" s="442">
        <f t="shared" si="87"/>
        <v>0</v>
      </c>
      <c r="N264" s="442">
        <f t="shared" si="88"/>
        <v>0</v>
      </c>
      <c r="O264" s="645">
        <f t="shared" si="49"/>
        <v>0</v>
      </c>
      <c r="P264" s="645">
        <f t="shared" si="50"/>
        <v>0</v>
      </c>
      <c r="Q264" s="442">
        <f t="shared" si="30"/>
        <v>0</v>
      </c>
      <c r="R264" s="444">
        <f t="shared" si="31"/>
        <v>0.2</v>
      </c>
      <c r="S264" s="444">
        <f t="shared" si="89"/>
        <v>0</v>
      </c>
      <c r="T264" s="399">
        <f t="shared" si="32"/>
        <v>0</v>
      </c>
      <c r="U264" s="513">
        <f t="shared" si="51"/>
        <v>0</v>
      </c>
      <c r="V264" s="282"/>
      <c r="W264" s="476">
        <f t="shared" si="52"/>
        <v>4.9999999999999989E-2</v>
      </c>
      <c r="Y264" s="475">
        <f t="shared" si="53"/>
        <v>4.9999999999999989E-2</v>
      </c>
      <c r="Z264" s="475">
        <f t="shared" si="33"/>
        <v>0</v>
      </c>
      <c r="AA264" s="395">
        <v>0</v>
      </c>
      <c r="AB264" s="629">
        <f t="shared" si="54"/>
        <v>0</v>
      </c>
      <c r="AC264" s="612">
        <f>PROPOSITION!Y25</f>
        <v>0</v>
      </c>
      <c r="AD264" s="396">
        <f t="shared" si="55"/>
        <v>0</v>
      </c>
      <c r="AE264" s="396"/>
      <c r="AF264" s="396"/>
      <c r="AH264" s="469">
        <f t="shared" si="34"/>
        <v>0</v>
      </c>
      <c r="AI264" s="469">
        <f t="shared" si="34"/>
        <v>0</v>
      </c>
      <c r="AJ264" s="469">
        <f t="shared" si="34"/>
        <v>0</v>
      </c>
      <c r="AK264" s="469">
        <f t="shared" si="34"/>
        <v>0</v>
      </c>
      <c r="AL264" s="469"/>
      <c r="AM264" s="469"/>
      <c r="AN264" s="469"/>
      <c r="AO264" s="469">
        <f t="shared" ref="AO264:AV264" si="110">(IF($G28=AO$257,$L$244,0))</f>
        <v>0</v>
      </c>
      <c r="AP264" s="469">
        <f t="shared" si="110"/>
        <v>0</v>
      </c>
      <c r="AQ264" s="469">
        <f t="shared" si="110"/>
        <v>0</v>
      </c>
      <c r="AR264" s="469">
        <f t="shared" si="110"/>
        <v>0</v>
      </c>
      <c r="AS264" s="469">
        <f t="shared" si="110"/>
        <v>0</v>
      </c>
      <c r="AT264" s="469">
        <f t="shared" si="110"/>
        <v>0</v>
      </c>
      <c r="AU264" s="469">
        <f t="shared" si="110"/>
        <v>0</v>
      </c>
      <c r="AV264" s="469">
        <f t="shared" si="110"/>
        <v>0</v>
      </c>
      <c r="AW264" s="469">
        <f t="shared" si="36"/>
        <v>0</v>
      </c>
      <c r="AX264" s="469">
        <f t="shared" si="36"/>
        <v>0</v>
      </c>
      <c r="AY264" s="469">
        <f t="shared" si="36"/>
        <v>0</v>
      </c>
      <c r="AZ264" s="469">
        <f t="shared" ref="AZ264:BB264" si="111">(IF($G28=AZ$257,$L$244,0))</f>
        <v>0</v>
      </c>
      <c r="BA264" s="469">
        <f t="shared" si="111"/>
        <v>0</v>
      </c>
      <c r="BB264" s="653">
        <f t="shared" si="111"/>
        <v>0</v>
      </c>
      <c r="BC264" s="653">
        <f t="shared" ref="BC264" si="112">(IF($G28=BC$257,$L$244,0))</f>
        <v>0</v>
      </c>
      <c r="BD264" s="469">
        <f t="shared" ref="BD264:BM264" si="113">(IF($G28=BD$257,$L$248,0))</f>
        <v>0</v>
      </c>
      <c r="BE264" s="469">
        <f t="shared" si="113"/>
        <v>0</v>
      </c>
      <c r="BF264" s="469">
        <f t="shared" si="113"/>
        <v>0</v>
      </c>
      <c r="BG264" s="469">
        <f t="shared" si="113"/>
        <v>0</v>
      </c>
      <c r="BH264" s="469">
        <f t="shared" si="113"/>
        <v>0</v>
      </c>
      <c r="BI264" s="469">
        <f t="shared" si="113"/>
        <v>0</v>
      </c>
      <c r="BJ264" s="469">
        <f t="shared" si="113"/>
        <v>0</v>
      </c>
      <c r="BK264" s="469">
        <f t="shared" si="113"/>
        <v>0</v>
      </c>
      <c r="BL264" s="469">
        <f t="shared" si="113"/>
        <v>0</v>
      </c>
      <c r="BM264" s="469">
        <f t="shared" si="113"/>
        <v>0</v>
      </c>
      <c r="BN264" s="470"/>
      <c r="BO264" s="470"/>
      <c r="BP264" s="469">
        <f t="shared" ref="BP264:BX264" si="114">(IF($G28=BP$257,$L$245,0))</f>
        <v>0</v>
      </c>
      <c r="BQ264" s="469">
        <f t="shared" si="114"/>
        <v>0</v>
      </c>
      <c r="BR264" s="469">
        <f t="shared" si="114"/>
        <v>0</v>
      </c>
      <c r="BS264" s="469">
        <f t="shared" si="114"/>
        <v>0</v>
      </c>
      <c r="BT264" s="469">
        <f t="shared" si="114"/>
        <v>0</v>
      </c>
      <c r="BU264" s="469">
        <f t="shared" si="114"/>
        <v>0</v>
      </c>
      <c r="BV264" s="469">
        <f t="shared" si="114"/>
        <v>0</v>
      </c>
      <c r="BW264" s="469">
        <f t="shared" si="114"/>
        <v>0</v>
      </c>
      <c r="BX264" s="469">
        <f t="shared" si="114"/>
        <v>0</v>
      </c>
      <c r="BY264" s="469">
        <f t="shared" ref="BY264:CJ264" si="115">(IF($G28=BY$257,$L$245,0))</f>
        <v>0</v>
      </c>
      <c r="BZ264" s="469">
        <f t="shared" si="115"/>
        <v>0</v>
      </c>
      <c r="CA264" s="469">
        <f t="shared" si="115"/>
        <v>0</v>
      </c>
      <c r="CB264" s="469">
        <f t="shared" si="115"/>
        <v>0</v>
      </c>
      <c r="CC264" s="469">
        <f t="shared" si="115"/>
        <v>0</v>
      </c>
      <c r="CD264" s="469">
        <f t="shared" si="115"/>
        <v>0</v>
      </c>
      <c r="CE264" s="469">
        <f t="shared" si="115"/>
        <v>0</v>
      </c>
      <c r="CF264" s="469">
        <f t="shared" si="115"/>
        <v>0</v>
      </c>
      <c r="CG264" s="469">
        <f t="shared" si="115"/>
        <v>0</v>
      </c>
      <c r="CH264" s="469">
        <f t="shared" si="115"/>
        <v>0</v>
      </c>
      <c r="CI264" s="469">
        <f t="shared" si="115"/>
        <v>0</v>
      </c>
      <c r="CJ264" s="469">
        <f t="shared" si="115"/>
        <v>0</v>
      </c>
      <c r="CK264" s="469">
        <f t="shared" ref="CK264" si="116">(IF($G28=CK$257,$L$245,0))</f>
        <v>0</v>
      </c>
      <c r="CL264" s="469"/>
      <c r="CM264" s="471"/>
      <c r="CN264" s="469">
        <f t="shared" si="42"/>
        <v>0</v>
      </c>
      <c r="CO264" s="469">
        <f t="shared" si="42"/>
        <v>0</v>
      </c>
      <c r="CP264" s="469">
        <f t="shared" si="42"/>
        <v>0</v>
      </c>
      <c r="CQ264" s="471"/>
      <c r="CR264" s="471"/>
      <c r="CS264" s="469">
        <f t="shared" ref="CS264:CY264" si="117">(IF($G28=CS$257,$L$250,0))</f>
        <v>0</v>
      </c>
      <c r="CT264" s="469">
        <f t="shared" si="117"/>
        <v>0</v>
      </c>
      <c r="CU264" s="469">
        <f t="shared" si="117"/>
        <v>0</v>
      </c>
      <c r="CV264" s="469">
        <f t="shared" si="117"/>
        <v>0</v>
      </c>
      <c r="CW264" s="469">
        <f t="shared" si="117"/>
        <v>0</v>
      </c>
      <c r="CX264" s="469">
        <f t="shared" si="117"/>
        <v>0</v>
      </c>
      <c r="CY264" s="469">
        <f t="shared" si="117"/>
        <v>0</v>
      </c>
      <c r="CZ264" s="471"/>
      <c r="DA264" s="471"/>
      <c r="DB264" s="469">
        <f t="shared" ref="DB264:DL264" si="118">(IF($G28=DB$257,$L$246,0))</f>
        <v>0</v>
      </c>
      <c r="DC264" s="469">
        <f t="shared" si="118"/>
        <v>0</v>
      </c>
      <c r="DD264" s="469">
        <f t="shared" si="118"/>
        <v>0</v>
      </c>
      <c r="DE264" s="469">
        <f t="shared" si="118"/>
        <v>0</v>
      </c>
      <c r="DF264" s="469">
        <f t="shared" si="118"/>
        <v>0</v>
      </c>
      <c r="DG264" s="469">
        <f t="shared" si="118"/>
        <v>0</v>
      </c>
      <c r="DH264" s="469">
        <f t="shared" si="118"/>
        <v>0</v>
      </c>
      <c r="DI264" s="469">
        <f t="shared" si="118"/>
        <v>0</v>
      </c>
      <c r="DJ264" s="469">
        <f t="shared" si="118"/>
        <v>0</v>
      </c>
      <c r="DK264" s="469">
        <f t="shared" si="118"/>
        <v>0</v>
      </c>
      <c r="DL264" s="469">
        <f t="shared" si="118"/>
        <v>0</v>
      </c>
      <c r="DM264" s="469">
        <f t="shared" ref="DM264:DT264" si="119">(IF($G28=DM$257,$L$246,0))</f>
        <v>0</v>
      </c>
      <c r="DN264" s="469">
        <f t="shared" si="119"/>
        <v>0</v>
      </c>
      <c r="DO264" s="469">
        <f t="shared" si="119"/>
        <v>0</v>
      </c>
      <c r="DP264" s="469">
        <f t="shared" si="119"/>
        <v>0</v>
      </c>
      <c r="DQ264" s="469">
        <f t="shared" si="119"/>
        <v>0</v>
      </c>
      <c r="DR264" s="469">
        <f t="shared" si="119"/>
        <v>0</v>
      </c>
      <c r="DS264" s="469">
        <f t="shared" si="119"/>
        <v>0</v>
      </c>
      <c r="DT264" s="469">
        <f t="shared" si="119"/>
        <v>0</v>
      </c>
      <c r="DU264" s="469"/>
      <c r="DV264" s="469"/>
      <c r="DW264" s="471"/>
      <c r="DX264" s="471"/>
      <c r="DY264" s="474">
        <f t="shared" si="66"/>
        <v>0</v>
      </c>
      <c r="EA264" s="477">
        <f t="shared" si="67"/>
        <v>0</v>
      </c>
      <c r="EG264" s="479">
        <f t="shared" si="46"/>
        <v>9.9999999999999995E-8</v>
      </c>
      <c r="EH264" s="480">
        <f t="shared" si="68"/>
        <v>1500</v>
      </c>
      <c r="EI264" s="480">
        <f t="shared" si="69"/>
        <v>0</v>
      </c>
      <c r="EJ264" s="480">
        <f t="shared" si="70"/>
        <v>0</v>
      </c>
      <c r="EK264" s="480">
        <f t="shared" si="71"/>
        <v>0</v>
      </c>
      <c r="EL264" s="480">
        <f t="shared" si="72"/>
        <v>1500</v>
      </c>
      <c r="EM264" s="480"/>
      <c r="EN264" s="480">
        <f t="shared" si="73"/>
        <v>1500</v>
      </c>
      <c r="EO264" s="655">
        <f t="shared" si="74"/>
        <v>0</v>
      </c>
      <c r="EP264" s="655">
        <f t="shared" si="75"/>
        <v>1500</v>
      </c>
      <c r="EQ264" s="481"/>
      <c r="ER264" s="655">
        <f t="shared" si="76"/>
        <v>1500</v>
      </c>
      <c r="ES264" s="656">
        <f t="shared" si="77"/>
        <v>1500</v>
      </c>
      <c r="ET264" s="656">
        <f t="shared" si="78"/>
        <v>0</v>
      </c>
      <c r="EU264" s="656">
        <f t="shared" si="79"/>
        <v>0</v>
      </c>
      <c r="EV264" s="656">
        <f t="shared" si="80"/>
        <v>1500</v>
      </c>
      <c r="EW264" s="483">
        <f t="shared" si="81"/>
        <v>1500</v>
      </c>
      <c r="EX264" s="398">
        <f t="shared" si="82"/>
        <v>0</v>
      </c>
      <c r="EY264" s="285" t="str">
        <f t="shared" si="47"/>
        <v>X</v>
      </c>
      <c r="EZ264" s="245">
        <f t="shared" si="83"/>
        <v>0</v>
      </c>
      <c r="FA264" s="245">
        <f t="shared" si="84"/>
        <v>0</v>
      </c>
    </row>
    <row r="265" spans="1:157" ht="15" customHeight="1">
      <c r="A265" s="244">
        <f t="shared" si="48"/>
        <v>-0.05</v>
      </c>
      <c r="B265" s="282">
        <v>6</v>
      </c>
      <c r="C265" s="644">
        <f t="shared" si="26"/>
        <v>0</v>
      </c>
      <c r="D265" s="245">
        <f t="shared" si="27"/>
        <v>0</v>
      </c>
      <c r="E265" s="444">
        <f t="shared" si="85"/>
        <v>0</v>
      </c>
      <c r="F265" s="442">
        <f>(PROPOSITION!AA26)+A265</f>
        <v>-0.05</v>
      </c>
      <c r="G265" s="442">
        <f t="shared" si="28"/>
        <v>0</v>
      </c>
      <c r="H265" s="445">
        <f t="shared" si="86"/>
        <v>0</v>
      </c>
      <c r="I265" s="444">
        <f t="shared" si="86"/>
        <v>-0.1</v>
      </c>
      <c r="J265" s="646">
        <f t="shared" si="29"/>
        <v>0</v>
      </c>
      <c r="K265" s="442">
        <f>IF(PROPOSITION!S26="N",-0.2,0)</f>
        <v>0</v>
      </c>
      <c r="L265" s="442">
        <f t="shared" si="87"/>
        <v>0</v>
      </c>
      <c r="N265" s="442">
        <f t="shared" si="88"/>
        <v>0</v>
      </c>
      <c r="O265" s="645">
        <f t="shared" si="49"/>
        <v>0</v>
      </c>
      <c r="P265" s="645">
        <f t="shared" si="50"/>
        <v>0</v>
      </c>
      <c r="Q265" s="442">
        <f t="shared" si="30"/>
        <v>0</v>
      </c>
      <c r="R265" s="444">
        <f t="shared" si="31"/>
        <v>0.2</v>
      </c>
      <c r="S265" s="444">
        <f t="shared" si="89"/>
        <v>0</v>
      </c>
      <c r="T265" s="399">
        <f t="shared" si="32"/>
        <v>0</v>
      </c>
      <c r="U265" s="513">
        <f t="shared" si="51"/>
        <v>0</v>
      </c>
      <c r="V265" s="282"/>
      <c r="W265" s="476">
        <f t="shared" si="52"/>
        <v>4.9999999999999989E-2</v>
      </c>
      <c r="Y265" s="475">
        <f t="shared" si="53"/>
        <v>4.9999999999999989E-2</v>
      </c>
      <c r="Z265" s="475">
        <f t="shared" si="33"/>
        <v>0</v>
      </c>
      <c r="AA265" s="395">
        <v>0</v>
      </c>
      <c r="AB265" s="629">
        <f t="shared" si="54"/>
        <v>0</v>
      </c>
      <c r="AC265" s="612">
        <f>PROPOSITION!Y26</f>
        <v>0</v>
      </c>
      <c r="AD265" s="396">
        <f t="shared" si="55"/>
        <v>0</v>
      </c>
      <c r="AE265" s="396"/>
      <c r="AF265" s="396"/>
      <c r="AH265" s="469">
        <f t="shared" si="34"/>
        <v>0</v>
      </c>
      <c r="AI265" s="469">
        <f t="shared" si="34"/>
        <v>0</v>
      </c>
      <c r="AJ265" s="469">
        <f t="shared" si="34"/>
        <v>0</v>
      </c>
      <c r="AK265" s="469">
        <f t="shared" si="34"/>
        <v>0</v>
      </c>
      <c r="AL265" s="469"/>
      <c r="AM265" s="469"/>
      <c r="AN265" s="469"/>
      <c r="AO265" s="469">
        <f t="shared" ref="AO265:AV265" si="120">(IF($G29=AO$257,$L$244,0))</f>
        <v>0</v>
      </c>
      <c r="AP265" s="469">
        <f t="shared" si="120"/>
        <v>0</v>
      </c>
      <c r="AQ265" s="469">
        <f t="shared" si="120"/>
        <v>0</v>
      </c>
      <c r="AR265" s="469">
        <f t="shared" si="120"/>
        <v>0</v>
      </c>
      <c r="AS265" s="469">
        <f t="shared" si="120"/>
        <v>0</v>
      </c>
      <c r="AT265" s="469">
        <f t="shared" si="120"/>
        <v>0</v>
      </c>
      <c r="AU265" s="469">
        <f t="shared" si="120"/>
        <v>0</v>
      </c>
      <c r="AV265" s="469">
        <f t="shared" si="120"/>
        <v>0</v>
      </c>
      <c r="AW265" s="469">
        <f t="shared" si="36"/>
        <v>0</v>
      </c>
      <c r="AX265" s="469">
        <f t="shared" si="36"/>
        <v>0</v>
      </c>
      <c r="AY265" s="469">
        <f t="shared" si="36"/>
        <v>0</v>
      </c>
      <c r="AZ265" s="469">
        <f t="shared" ref="AZ265:BB265" si="121">(IF($G29=AZ$257,$L$244,0))</f>
        <v>0</v>
      </c>
      <c r="BA265" s="469">
        <f t="shared" si="121"/>
        <v>0</v>
      </c>
      <c r="BB265" s="653">
        <f t="shared" si="121"/>
        <v>0</v>
      </c>
      <c r="BC265" s="653">
        <f t="shared" ref="BC265" si="122">(IF($G29=BC$257,$L$244,0))</f>
        <v>0</v>
      </c>
      <c r="BD265" s="469">
        <f t="shared" ref="BD265:BM265" si="123">(IF($G29=BD$257,$L$248,0))</f>
        <v>0</v>
      </c>
      <c r="BE265" s="469">
        <f t="shared" si="123"/>
        <v>0</v>
      </c>
      <c r="BF265" s="469">
        <f t="shared" si="123"/>
        <v>0</v>
      </c>
      <c r="BG265" s="469">
        <f t="shared" si="123"/>
        <v>0</v>
      </c>
      <c r="BH265" s="469">
        <f t="shared" si="123"/>
        <v>0</v>
      </c>
      <c r="BI265" s="469">
        <f t="shared" si="123"/>
        <v>0</v>
      </c>
      <c r="BJ265" s="469">
        <f t="shared" si="123"/>
        <v>0</v>
      </c>
      <c r="BK265" s="469">
        <f t="shared" si="123"/>
        <v>0</v>
      </c>
      <c r="BL265" s="469">
        <f t="shared" si="123"/>
        <v>0</v>
      </c>
      <c r="BM265" s="469">
        <f t="shared" si="123"/>
        <v>0</v>
      </c>
      <c r="BN265" s="470"/>
      <c r="BO265" s="470"/>
      <c r="BP265" s="469">
        <f t="shared" ref="BP265:BX265" si="124">(IF($G29=BP$257,$L$245,0))</f>
        <v>0</v>
      </c>
      <c r="BQ265" s="469">
        <f t="shared" si="124"/>
        <v>0</v>
      </c>
      <c r="BR265" s="469">
        <f t="shared" si="124"/>
        <v>0</v>
      </c>
      <c r="BS265" s="469">
        <f t="shared" si="124"/>
        <v>0</v>
      </c>
      <c r="BT265" s="469">
        <f t="shared" si="124"/>
        <v>0</v>
      </c>
      <c r="BU265" s="469">
        <f t="shared" si="124"/>
        <v>0</v>
      </c>
      <c r="BV265" s="469">
        <f t="shared" si="124"/>
        <v>0</v>
      </c>
      <c r="BW265" s="469">
        <f t="shared" si="124"/>
        <v>0</v>
      </c>
      <c r="BX265" s="469">
        <f t="shared" si="124"/>
        <v>0</v>
      </c>
      <c r="BY265" s="469">
        <f t="shared" ref="BY265:CJ265" si="125">(IF($G29=BY$257,$L$245,0))</f>
        <v>0</v>
      </c>
      <c r="BZ265" s="469">
        <f t="shared" si="125"/>
        <v>0</v>
      </c>
      <c r="CA265" s="469">
        <f t="shared" si="125"/>
        <v>0</v>
      </c>
      <c r="CB265" s="469">
        <f t="shared" si="125"/>
        <v>0</v>
      </c>
      <c r="CC265" s="469">
        <f t="shared" si="125"/>
        <v>0</v>
      </c>
      <c r="CD265" s="469">
        <f t="shared" si="125"/>
        <v>0</v>
      </c>
      <c r="CE265" s="469">
        <f t="shared" si="125"/>
        <v>0</v>
      </c>
      <c r="CF265" s="469">
        <f t="shared" si="125"/>
        <v>0</v>
      </c>
      <c r="CG265" s="469">
        <f t="shared" si="125"/>
        <v>0</v>
      </c>
      <c r="CH265" s="469">
        <f t="shared" si="125"/>
        <v>0</v>
      </c>
      <c r="CI265" s="469">
        <f t="shared" si="125"/>
        <v>0</v>
      </c>
      <c r="CJ265" s="469">
        <f t="shared" si="125"/>
        <v>0</v>
      </c>
      <c r="CK265" s="469">
        <f t="shared" ref="CK265" si="126">(IF($G29=CK$257,$L$245,0))</f>
        <v>0</v>
      </c>
      <c r="CL265" s="469"/>
      <c r="CM265" s="471"/>
      <c r="CN265" s="469">
        <f t="shared" si="42"/>
        <v>0</v>
      </c>
      <c r="CO265" s="469">
        <f t="shared" si="42"/>
        <v>0</v>
      </c>
      <c r="CP265" s="469">
        <f t="shared" si="42"/>
        <v>0</v>
      </c>
      <c r="CQ265" s="471"/>
      <c r="CR265" s="471"/>
      <c r="CS265" s="469">
        <f t="shared" ref="CS265:CY265" si="127">(IF($G29=CS$257,$L$250,0))</f>
        <v>0</v>
      </c>
      <c r="CT265" s="469">
        <f t="shared" si="127"/>
        <v>0</v>
      </c>
      <c r="CU265" s="469">
        <f t="shared" si="127"/>
        <v>0</v>
      </c>
      <c r="CV265" s="469">
        <f t="shared" si="127"/>
        <v>0</v>
      </c>
      <c r="CW265" s="469">
        <f t="shared" si="127"/>
        <v>0</v>
      </c>
      <c r="CX265" s="469">
        <f t="shared" si="127"/>
        <v>0</v>
      </c>
      <c r="CY265" s="469">
        <f t="shared" si="127"/>
        <v>0</v>
      </c>
      <c r="CZ265" s="471"/>
      <c r="DA265" s="471"/>
      <c r="DB265" s="469">
        <f t="shared" ref="DB265:DL265" si="128">(IF($G29=DB$257,$L$246,0))</f>
        <v>0</v>
      </c>
      <c r="DC265" s="469">
        <f t="shared" si="128"/>
        <v>0</v>
      </c>
      <c r="DD265" s="469">
        <f t="shared" si="128"/>
        <v>0</v>
      </c>
      <c r="DE265" s="469">
        <f t="shared" si="128"/>
        <v>0</v>
      </c>
      <c r="DF265" s="469">
        <f t="shared" si="128"/>
        <v>0</v>
      </c>
      <c r="DG265" s="469">
        <f t="shared" si="128"/>
        <v>0</v>
      </c>
      <c r="DH265" s="469">
        <f t="shared" si="128"/>
        <v>0</v>
      </c>
      <c r="DI265" s="469">
        <f t="shared" si="128"/>
        <v>0</v>
      </c>
      <c r="DJ265" s="469">
        <f t="shared" si="128"/>
        <v>0</v>
      </c>
      <c r="DK265" s="469">
        <f t="shared" si="128"/>
        <v>0</v>
      </c>
      <c r="DL265" s="469">
        <f t="shared" si="128"/>
        <v>0</v>
      </c>
      <c r="DM265" s="469">
        <f t="shared" ref="DM265:DT265" si="129">(IF($G29=DM$257,$L$246,0))</f>
        <v>0</v>
      </c>
      <c r="DN265" s="469">
        <f t="shared" si="129"/>
        <v>0</v>
      </c>
      <c r="DO265" s="469">
        <f t="shared" si="129"/>
        <v>0</v>
      </c>
      <c r="DP265" s="469">
        <f t="shared" si="129"/>
        <v>0</v>
      </c>
      <c r="DQ265" s="469">
        <f t="shared" si="129"/>
        <v>0</v>
      </c>
      <c r="DR265" s="469">
        <f t="shared" si="129"/>
        <v>0</v>
      </c>
      <c r="DS265" s="469">
        <f t="shared" si="129"/>
        <v>0</v>
      </c>
      <c r="DT265" s="469">
        <f t="shared" si="129"/>
        <v>0</v>
      </c>
      <c r="DU265" s="469"/>
      <c r="DV265" s="469"/>
      <c r="DW265" s="471"/>
      <c r="DX265" s="471"/>
      <c r="DY265" s="474">
        <f t="shared" si="66"/>
        <v>0</v>
      </c>
      <c r="EA265" s="477">
        <f t="shared" si="67"/>
        <v>0</v>
      </c>
      <c r="EG265" s="479">
        <f t="shared" si="46"/>
        <v>9.9999999999999995E-8</v>
      </c>
      <c r="EH265" s="480">
        <f t="shared" si="68"/>
        <v>1500</v>
      </c>
      <c r="EI265" s="480">
        <f t="shared" si="69"/>
        <v>0</v>
      </c>
      <c r="EJ265" s="480">
        <f t="shared" si="70"/>
        <v>0</v>
      </c>
      <c r="EK265" s="480">
        <f t="shared" si="71"/>
        <v>0</v>
      </c>
      <c r="EL265" s="480">
        <f t="shared" si="72"/>
        <v>1500</v>
      </c>
      <c r="EM265" s="480"/>
      <c r="EN265" s="480">
        <f t="shared" si="73"/>
        <v>1500</v>
      </c>
      <c r="EO265" s="655">
        <f t="shared" si="74"/>
        <v>0</v>
      </c>
      <c r="EP265" s="655">
        <f t="shared" si="75"/>
        <v>1500</v>
      </c>
      <c r="EQ265" s="481"/>
      <c r="ER265" s="655">
        <f t="shared" si="76"/>
        <v>1500</v>
      </c>
      <c r="ES265" s="656">
        <f t="shared" si="77"/>
        <v>1500</v>
      </c>
      <c r="ET265" s="656">
        <f t="shared" si="78"/>
        <v>0</v>
      </c>
      <c r="EU265" s="656">
        <f t="shared" si="79"/>
        <v>0</v>
      </c>
      <c r="EV265" s="656">
        <f t="shared" si="80"/>
        <v>1500</v>
      </c>
      <c r="EW265" s="483">
        <f t="shared" si="81"/>
        <v>1500</v>
      </c>
      <c r="EX265" s="398">
        <f t="shared" si="82"/>
        <v>0</v>
      </c>
      <c r="EY265" s="285" t="str">
        <f t="shared" si="47"/>
        <v>X</v>
      </c>
      <c r="EZ265" s="245">
        <f t="shared" si="83"/>
        <v>0</v>
      </c>
      <c r="FA265" s="245">
        <f t="shared" si="84"/>
        <v>0</v>
      </c>
    </row>
    <row r="266" spans="1:157" ht="15" customHeight="1">
      <c r="A266" s="244">
        <f t="shared" si="48"/>
        <v>-0.05</v>
      </c>
      <c r="B266" s="282">
        <v>7</v>
      </c>
      <c r="C266" s="644">
        <f t="shared" si="26"/>
        <v>0</v>
      </c>
      <c r="D266" s="245">
        <f t="shared" si="27"/>
        <v>0</v>
      </c>
      <c r="E266" s="444">
        <f t="shared" si="85"/>
        <v>0</v>
      </c>
      <c r="F266" s="442">
        <f>(PROPOSITION!AA27)+A266</f>
        <v>-0.05</v>
      </c>
      <c r="G266" s="442">
        <f t="shared" si="28"/>
        <v>0</v>
      </c>
      <c r="H266" s="445">
        <f t="shared" si="86"/>
        <v>0</v>
      </c>
      <c r="I266" s="444">
        <f t="shared" si="86"/>
        <v>-0.1</v>
      </c>
      <c r="J266" s="646">
        <f t="shared" si="29"/>
        <v>0</v>
      </c>
      <c r="K266" s="442">
        <f>IF(PROPOSITION!S27="N",-0.2,0)</f>
        <v>0</v>
      </c>
      <c r="L266" s="442">
        <f t="shared" si="87"/>
        <v>0</v>
      </c>
      <c r="N266" s="442">
        <f t="shared" si="88"/>
        <v>0</v>
      </c>
      <c r="O266" s="645">
        <f t="shared" si="49"/>
        <v>0</v>
      </c>
      <c r="P266" s="645">
        <f t="shared" si="50"/>
        <v>0</v>
      </c>
      <c r="Q266" s="442">
        <f t="shared" si="30"/>
        <v>0</v>
      </c>
      <c r="R266" s="444">
        <f t="shared" si="31"/>
        <v>0.2</v>
      </c>
      <c r="S266" s="444">
        <f t="shared" si="89"/>
        <v>0</v>
      </c>
      <c r="T266" s="399">
        <f t="shared" si="32"/>
        <v>0</v>
      </c>
      <c r="U266" s="513">
        <f t="shared" si="51"/>
        <v>0</v>
      </c>
      <c r="V266" s="282"/>
      <c r="W266" s="476">
        <f t="shared" si="52"/>
        <v>4.9999999999999989E-2</v>
      </c>
      <c r="Y266" s="475">
        <f t="shared" si="53"/>
        <v>4.9999999999999989E-2</v>
      </c>
      <c r="Z266" s="475">
        <f t="shared" si="33"/>
        <v>0</v>
      </c>
      <c r="AA266" s="395">
        <v>0</v>
      </c>
      <c r="AB266" s="629">
        <f t="shared" si="54"/>
        <v>0</v>
      </c>
      <c r="AC266" s="612">
        <f>PROPOSITION!Y27</f>
        <v>0</v>
      </c>
      <c r="AD266" s="396">
        <f t="shared" si="55"/>
        <v>0</v>
      </c>
      <c r="AE266" s="396"/>
      <c r="AF266" s="396"/>
      <c r="AH266" s="469">
        <f t="shared" si="34"/>
        <v>0</v>
      </c>
      <c r="AI266" s="469">
        <f t="shared" si="34"/>
        <v>0</v>
      </c>
      <c r="AJ266" s="469">
        <f t="shared" si="34"/>
        <v>0</v>
      </c>
      <c r="AK266" s="469">
        <f t="shared" si="34"/>
        <v>0</v>
      </c>
      <c r="AL266" s="469"/>
      <c r="AM266" s="469"/>
      <c r="AN266" s="469"/>
      <c r="AO266" s="469">
        <f t="shared" ref="AO266:AV266" si="130">(IF($G30=AO$257,$L$244,0))</f>
        <v>0</v>
      </c>
      <c r="AP266" s="469">
        <f t="shared" si="130"/>
        <v>0</v>
      </c>
      <c r="AQ266" s="469">
        <f t="shared" si="130"/>
        <v>0</v>
      </c>
      <c r="AR266" s="469">
        <f t="shared" si="130"/>
        <v>0</v>
      </c>
      <c r="AS266" s="469">
        <f t="shared" si="130"/>
        <v>0</v>
      </c>
      <c r="AT266" s="469">
        <f t="shared" si="130"/>
        <v>0</v>
      </c>
      <c r="AU266" s="469">
        <f t="shared" si="130"/>
        <v>0</v>
      </c>
      <c r="AV266" s="469">
        <f t="shared" si="130"/>
        <v>0</v>
      </c>
      <c r="AW266" s="469">
        <f t="shared" si="36"/>
        <v>0</v>
      </c>
      <c r="AX266" s="469">
        <f t="shared" si="36"/>
        <v>0</v>
      </c>
      <c r="AY266" s="469">
        <f t="shared" si="36"/>
        <v>0</v>
      </c>
      <c r="AZ266" s="469">
        <f t="shared" ref="AZ266:BB266" si="131">(IF($G30=AZ$257,$L$244,0))</f>
        <v>0</v>
      </c>
      <c r="BA266" s="469">
        <f t="shared" si="131"/>
        <v>0</v>
      </c>
      <c r="BB266" s="653">
        <f t="shared" si="131"/>
        <v>0</v>
      </c>
      <c r="BC266" s="653">
        <f t="shared" ref="BC266" si="132">(IF($G30=BC$257,$L$244,0))</f>
        <v>0</v>
      </c>
      <c r="BD266" s="469">
        <f t="shared" ref="BD266:BM266" si="133">(IF($G30=BD$257,$L$248,0))</f>
        <v>0</v>
      </c>
      <c r="BE266" s="469">
        <f t="shared" si="133"/>
        <v>0</v>
      </c>
      <c r="BF266" s="469">
        <f t="shared" si="133"/>
        <v>0</v>
      </c>
      <c r="BG266" s="469">
        <f t="shared" si="133"/>
        <v>0</v>
      </c>
      <c r="BH266" s="469">
        <f t="shared" si="133"/>
        <v>0</v>
      </c>
      <c r="BI266" s="469">
        <f t="shared" si="133"/>
        <v>0</v>
      </c>
      <c r="BJ266" s="469">
        <f t="shared" si="133"/>
        <v>0</v>
      </c>
      <c r="BK266" s="469">
        <f t="shared" si="133"/>
        <v>0</v>
      </c>
      <c r="BL266" s="469">
        <f t="shared" si="133"/>
        <v>0</v>
      </c>
      <c r="BM266" s="469">
        <f t="shared" si="133"/>
        <v>0</v>
      </c>
      <c r="BN266" s="470"/>
      <c r="BO266" s="470"/>
      <c r="BP266" s="469">
        <f t="shared" ref="BP266:BX266" si="134">(IF($G30=BP$257,$L$245,0))</f>
        <v>0</v>
      </c>
      <c r="BQ266" s="469">
        <f t="shared" si="134"/>
        <v>0</v>
      </c>
      <c r="BR266" s="469">
        <f t="shared" si="134"/>
        <v>0</v>
      </c>
      <c r="BS266" s="469">
        <f t="shared" si="134"/>
        <v>0</v>
      </c>
      <c r="BT266" s="469">
        <f t="shared" si="134"/>
        <v>0</v>
      </c>
      <c r="BU266" s="469">
        <f t="shared" si="134"/>
        <v>0</v>
      </c>
      <c r="BV266" s="469">
        <f t="shared" si="134"/>
        <v>0</v>
      </c>
      <c r="BW266" s="469">
        <f t="shared" si="134"/>
        <v>0</v>
      </c>
      <c r="BX266" s="469">
        <f t="shared" si="134"/>
        <v>0</v>
      </c>
      <c r="BY266" s="469">
        <f t="shared" ref="BY266:CJ266" si="135">(IF($G30=BY$257,$L$245,0))</f>
        <v>0</v>
      </c>
      <c r="BZ266" s="469">
        <f t="shared" si="135"/>
        <v>0</v>
      </c>
      <c r="CA266" s="469">
        <f t="shared" si="135"/>
        <v>0</v>
      </c>
      <c r="CB266" s="469">
        <f t="shared" si="135"/>
        <v>0</v>
      </c>
      <c r="CC266" s="469">
        <f t="shared" si="135"/>
        <v>0</v>
      </c>
      <c r="CD266" s="469">
        <f t="shared" si="135"/>
        <v>0</v>
      </c>
      <c r="CE266" s="469">
        <f t="shared" si="135"/>
        <v>0</v>
      </c>
      <c r="CF266" s="469">
        <f t="shared" si="135"/>
        <v>0</v>
      </c>
      <c r="CG266" s="469">
        <f t="shared" si="135"/>
        <v>0</v>
      </c>
      <c r="CH266" s="469">
        <f t="shared" si="135"/>
        <v>0</v>
      </c>
      <c r="CI266" s="469">
        <f t="shared" si="135"/>
        <v>0</v>
      </c>
      <c r="CJ266" s="469">
        <f t="shared" si="135"/>
        <v>0</v>
      </c>
      <c r="CK266" s="469">
        <f t="shared" ref="CK266" si="136">(IF($G30=CK$257,$L$245,0))</f>
        <v>0</v>
      </c>
      <c r="CL266" s="469"/>
      <c r="CM266" s="471"/>
      <c r="CN266" s="469">
        <f t="shared" si="42"/>
        <v>0</v>
      </c>
      <c r="CO266" s="469">
        <f t="shared" si="42"/>
        <v>0</v>
      </c>
      <c r="CP266" s="469">
        <f t="shared" si="42"/>
        <v>0</v>
      </c>
      <c r="CQ266" s="471"/>
      <c r="CR266" s="471"/>
      <c r="CS266" s="469">
        <f t="shared" ref="CS266:CY266" si="137">(IF($G30=CS$257,$L$250,0))</f>
        <v>0</v>
      </c>
      <c r="CT266" s="469">
        <f t="shared" si="137"/>
        <v>0</v>
      </c>
      <c r="CU266" s="469">
        <f t="shared" si="137"/>
        <v>0</v>
      </c>
      <c r="CV266" s="469">
        <f t="shared" si="137"/>
        <v>0</v>
      </c>
      <c r="CW266" s="469">
        <f t="shared" si="137"/>
        <v>0</v>
      </c>
      <c r="CX266" s="469">
        <f t="shared" si="137"/>
        <v>0</v>
      </c>
      <c r="CY266" s="469">
        <f t="shared" si="137"/>
        <v>0</v>
      </c>
      <c r="CZ266" s="471"/>
      <c r="DA266" s="471"/>
      <c r="DB266" s="469">
        <f t="shared" ref="DB266:DL266" si="138">(IF($G30=DB$257,$L$246,0))</f>
        <v>0</v>
      </c>
      <c r="DC266" s="469">
        <f t="shared" si="138"/>
        <v>0</v>
      </c>
      <c r="DD266" s="469">
        <f t="shared" si="138"/>
        <v>0</v>
      </c>
      <c r="DE266" s="469">
        <f t="shared" si="138"/>
        <v>0</v>
      </c>
      <c r="DF266" s="469">
        <f t="shared" si="138"/>
        <v>0</v>
      </c>
      <c r="DG266" s="469">
        <f t="shared" si="138"/>
        <v>0</v>
      </c>
      <c r="DH266" s="469">
        <f t="shared" si="138"/>
        <v>0</v>
      </c>
      <c r="DI266" s="469">
        <f t="shared" si="138"/>
        <v>0</v>
      </c>
      <c r="DJ266" s="469">
        <f t="shared" si="138"/>
        <v>0</v>
      </c>
      <c r="DK266" s="469">
        <f t="shared" si="138"/>
        <v>0</v>
      </c>
      <c r="DL266" s="469">
        <f t="shared" si="138"/>
        <v>0</v>
      </c>
      <c r="DM266" s="469">
        <f t="shared" ref="DM266:DT266" si="139">(IF($G30=DM$257,$L$246,0))</f>
        <v>0</v>
      </c>
      <c r="DN266" s="469">
        <f t="shared" si="139"/>
        <v>0</v>
      </c>
      <c r="DO266" s="469">
        <f t="shared" si="139"/>
        <v>0</v>
      </c>
      <c r="DP266" s="469">
        <f t="shared" si="139"/>
        <v>0</v>
      </c>
      <c r="DQ266" s="469">
        <f t="shared" si="139"/>
        <v>0</v>
      </c>
      <c r="DR266" s="469">
        <f t="shared" si="139"/>
        <v>0</v>
      </c>
      <c r="DS266" s="469">
        <f t="shared" si="139"/>
        <v>0</v>
      </c>
      <c r="DT266" s="469">
        <f t="shared" si="139"/>
        <v>0</v>
      </c>
      <c r="DU266" s="469"/>
      <c r="DV266" s="469"/>
      <c r="DW266" s="471"/>
      <c r="DX266" s="471"/>
      <c r="DY266" s="474">
        <f t="shared" si="66"/>
        <v>0</v>
      </c>
      <c r="EA266" s="477">
        <f t="shared" si="67"/>
        <v>0</v>
      </c>
      <c r="EG266" s="479">
        <f t="shared" si="46"/>
        <v>9.9999999999999995E-8</v>
      </c>
      <c r="EH266" s="480">
        <f t="shared" si="68"/>
        <v>1500</v>
      </c>
      <c r="EI266" s="480">
        <f t="shared" si="69"/>
        <v>0</v>
      </c>
      <c r="EJ266" s="480">
        <f t="shared" si="70"/>
        <v>0</v>
      </c>
      <c r="EK266" s="480">
        <f t="shared" si="71"/>
        <v>0</v>
      </c>
      <c r="EL266" s="480">
        <f t="shared" si="72"/>
        <v>1500</v>
      </c>
      <c r="EM266" s="480"/>
      <c r="EN266" s="480">
        <f t="shared" si="73"/>
        <v>1500</v>
      </c>
      <c r="EO266" s="655">
        <f t="shared" si="74"/>
        <v>0</v>
      </c>
      <c r="EP266" s="655">
        <f t="shared" si="75"/>
        <v>1500</v>
      </c>
      <c r="EQ266" s="481"/>
      <c r="ER266" s="655">
        <f t="shared" si="76"/>
        <v>1500</v>
      </c>
      <c r="ES266" s="656">
        <f t="shared" si="77"/>
        <v>1500</v>
      </c>
      <c r="ET266" s="656">
        <f t="shared" si="78"/>
        <v>0</v>
      </c>
      <c r="EU266" s="656">
        <f t="shared" si="79"/>
        <v>0</v>
      </c>
      <c r="EV266" s="656">
        <f t="shared" si="80"/>
        <v>1500</v>
      </c>
      <c r="EW266" s="483">
        <f t="shared" si="81"/>
        <v>1500</v>
      </c>
      <c r="EX266" s="398">
        <f t="shared" si="82"/>
        <v>0</v>
      </c>
      <c r="EY266" s="285" t="str">
        <f t="shared" si="47"/>
        <v>X</v>
      </c>
      <c r="EZ266" s="245">
        <f t="shared" si="83"/>
        <v>0</v>
      </c>
      <c r="FA266" s="245">
        <f t="shared" si="84"/>
        <v>0</v>
      </c>
    </row>
    <row r="267" spans="1:157" ht="15" customHeight="1">
      <c r="A267" s="244">
        <f t="shared" si="48"/>
        <v>-0.05</v>
      </c>
      <c r="B267" s="282">
        <v>8</v>
      </c>
      <c r="C267" s="644">
        <f t="shared" si="26"/>
        <v>0</v>
      </c>
      <c r="D267" s="245">
        <f t="shared" si="27"/>
        <v>0</v>
      </c>
      <c r="E267" s="444">
        <f t="shared" si="85"/>
        <v>0</v>
      </c>
      <c r="F267" s="442">
        <f>(PROPOSITION!AA28)+A267</f>
        <v>-0.05</v>
      </c>
      <c r="G267" s="442">
        <f t="shared" si="28"/>
        <v>0</v>
      </c>
      <c r="H267" s="445">
        <f t="shared" si="86"/>
        <v>0</v>
      </c>
      <c r="I267" s="444">
        <f t="shared" si="86"/>
        <v>-0.1</v>
      </c>
      <c r="J267" s="646">
        <f t="shared" si="29"/>
        <v>0</v>
      </c>
      <c r="K267" s="442">
        <f>IF(PROPOSITION!S28="N",-0.2,0)</f>
        <v>0</v>
      </c>
      <c r="L267" s="442">
        <f t="shared" si="87"/>
        <v>0</v>
      </c>
      <c r="N267" s="442">
        <f t="shared" si="88"/>
        <v>0</v>
      </c>
      <c r="O267" s="645">
        <f t="shared" si="49"/>
        <v>0</v>
      </c>
      <c r="P267" s="645">
        <f t="shared" si="50"/>
        <v>0</v>
      </c>
      <c r="Q267" s="442">
        <f t="shared" si="30"/>
        <v>0</v>
      </c>
      <c r="R267" s="444">
        <f t="shared" si="31"/>
        <v>0.2</v>
      </c>
      <c r="S267" s="444">
        <f t="shared" si="89"/>
        <v>0</v>
      </c>
      <c r="T267" s="399">
        <f t="shared" si="32"/>
        <v>0</v>
      </c>
      <c r="U267" s="513">
        <f t="shared" si="51"/>
        <v>0</v>
      </c>
      <c r="V267" s="282"/>
      <c r="W267" s="476">
        <f t="shared" si="52"/>
        <v>4.9999999999999989E-2</v>
      </c>
      <c r="Y267" s="475">
        <f t="shared" si="53"/>
        <v>4.9999999999999989E-2</v>
      </c>
      <c r="Z267" s="475">
        <f t="shared" si="33"/>
        <v>0</v>
      </c>
      <c r="AA267" s="395">
        <v>0</v>
      </c>
      <c r="AB267" s="629">
        <f t="shared" si="54"/>
        <v>0</v>
      </c>
      <c r="AC267" s="612">
        <f>PROPOSITION!Y28</f>
        <v>0</v>
      </c>
      <c r="AD267" s="396">
        <f t="shared" si="55"/>
        <v>0</v>
      </c>
      <c r="AE267" s="396"/>
      <c r="AF267" s="396"/>
      <c r="AH267" s="469">
        <f t="shared" si="34"/>
        <v>0</v>
      </c>
      <c r="AI267" s="469">
        <f t="shared" si="34"/>
        <v>0</v>
      </c>
      <c r="AJ267" s="469">
        <f t="shared" si="34"/>
        <v>0</v>
      </c>
      <c r="AK267" s="469">
        <f t="shared" si="34"/>
        <v>0</v>
      </c>
      <c r="AL267" s="469"/>
      <c r="AM267" s="469"/>
      <c r="AN267" s="469"/>
      <c r="AO267" s="469">
        <f t="shared" ref="AO267:AV267" si="140">(IF($G31=AO$257,$L$244,0))</f>
        <v>0</v>
      </c>
      <c r="AP267" s="469">
        <f t="shared" si="140"/>
        <v>0</v>
      </c>
      <c r="AQ267" s="469">
        <f t="shared" si="140"/>
        <v>0</v>
      </c>
      <c r="AR267" s="469">
        <f t="shared" si="140"/>
        <v>0</v>
      </c>
      <c r="AS267" s="469">
        <f t="shared" si="140"/>
        <v>0</v>
      </c>
      <c r="AT267" s="469">
        <f t="shared" si="140"/>
        <v>0</v>
      </c>
      <c r="AU267" s="469">
        <f t="shared" si="140"/>
        <v>0</v>
      </c>
      <c r="AV267" s="469">
        <f t="shared" si="140"/>
        <v>0</v>
      </c>
      <c r="AW267" s="469">
        <f t="shared" si="36"/>
        <v>0</v>
      </c>
      <c r="AX267" s="469">
        <f t="shared" si="36"/>
        <v>0</v>
      </c>
      <c r="AY267" s="469">
        <f t="shared" si="36"/>
        <v>0</v>
      </c>
      <c r="AZ267" s="469">
        <f t="shared" ref="AZ267:BB267" si="141">(IF($G31=AZ$257,$L$244,0))</f>
        <v>0</v>
      </c>
      <c r="BA267" s="469">
        <f t="shared" si="141"/>
        <v>0</v>
      </c>
      <c r="BB267" s="653">
        <f t="shared" si="141"/>
        <v>0</v>
      </c>
      <c r="BC267" s="653">
        <f t="shared" ref="BC267" si="142">(IF($G31=BC$257,$L$244,0))</f>
        <v>0</v>
      </c>
      <c r="BD267" s="469">
        <f t="shared" ref="BD267:BM267" si="143">(IF($G31=BD$257,$L$248,0))</f>
        <v>0</v>
      </c>
      <c r="BE267" s="469">
        <f t="shared" si="143"/>
        <v>0</v>
      </c>
      <c r="BF267" s="469">
        <f t="shared" si="143"/>
        <v>0</v>
      </c>
      <c r="BG267" s="469">
        <f t="shared" si="143"/>
        <v>0</v>
      </c>
      <c r="BH267" s="469">
        <f t="shared" si="143"/>
        <v>0</v>
      </c>
      <c r="BI267" s="469">
        <f t="shared" si="143"/>
        <v>0</v>
      </c>
      <c r="BJ267" s="469">
        <f t="shared" si="143"/>
        <v>0</v>
      </c>
      <c r="BK267" s="469">
        <f t="shared" si="143"/>
        <v>0</v>
      </c>
      <c r="BL267" s="469">
        <f t="shared" si="143"/>
        <v>0</v>
      </c>
      <c r="BM267" s="469">
        <f t="shared" si="143"/>
        <v>0</v>
      </c>
      <c r="BN267" s="470"/>
      <c r="BO267" s="470"/>
      <c r="BP267" s="469">
        <f t="shared" ref="BP267:BX267" si="144">(IF($G31=BP$257,$L$245,0))</f>
        <v>0</v>
      </c>
      <c r="BQ267" s="469">
        <f t="shared" si="144"/>
        <v>0</v>
      </c>
      <c r="BR267" s="469">
        <f t="shared" si="144"/>
        <v>0</v>
      </c>
      <c r="BS267" s="469">
        <f t="shared" si="144"/>
        <v>0</v>
      </c>
      <c r="BT267" s="469">
        <f t="shared" si="144"/>
        <v>0</v>
      </c>
      <c r="BU267" s="469">
        <f t="shared" si="144"/>
        <v>0</v>
      </c>
      <c r="BV267" s="469">
        <f t="shared" si="144"/>
        <v>0</v>
      </c>
      <c r="BW267" s="469">
        <f t="shared" si="144"/>
        <v>0</v>
      </c>
      <c r="BX267" s="469">
        <f t="shared" si="144"/>
        <v>0</v>
      </c>
      <c r="BY267" s="469">
        <f t="shared" ref="BY267:CJ267" si="145">(IF($G31=BY$257,$L$245,0))</f>
        <v>0</v>
      </c>
      <c r="BZ267" s="469">
        <f t="shared" si="145"/>
        <v>0</v>
      </c>
      <c r="CA267" s="469">
        <f t="shared" si="145"/>
        <v>0</v>
      </c>
      <c r="CB267" s="469">
        <f t="shared" si="145"/>
        <v>0</v>
      </c>
      <c r="CC267" s="469">
        <f t="shared" si="145"/>
        <v>0</v>
      </c>
      <c r="CD267" s="469">
        <f t="shared" si="145"/>
        <v>0</v>
      </c>
      <c r="CE267" s="469">
        <f t="shared" si="145"/>
        <v>0</v>
      </c>
      <c r="CF267" s="469">
        <f t="shared" si="145"/>
        <v>0</v>
      </c>
      <c r="CG267" s="469">
        <f t="shared" si="145"/>
        <v>0</v>
      </c>
      <c r="CH267" s="469">
        <f t="shared" si="145"/>
        <v>0</v>
      </c>
      <c r="CI267" s="469">
        <f t="shared" si="145"/>
        <v>0</v>
      </c>
      <c r="CJ267" s="469">
        <f t="shared" si="145"/>
        <v>0</v>
      </c>
      <c r="CK267" s="469">
        <f t="shared" ref="CK267" si="146">(IF($G31=CK$257,$L$245,0))</f>
        <v>0</v>
      </c>
      <c r="CL267" s="469"/>
      <c r="CM267" s="471"/>
      <c r="CN267" s="469">
        <f t="shared" si="42"/>
        <v>0</v>
      </c>
      <c r="CO267" s="469">
        <f t="shared" si="42"/>
        <v>0</v>
      </c>
      <c r="CP267" s="469">
        <f t="shared" si="42"/>
        <v>0</v>
      </c>
      <c r="CQ267" s="471"/>
      <c r="CR267" s="471"/>
      <c r="CS267" s="469">
        <f t="shared" ref="CS267:CY267" si="147">(IF($G31=CS$257,$L$250,0))</f>
        <v>0</v>
      </c>
      <c r="CT267" s="469">
        <f t="shared" si="147"/>
        <v>0</v>
      </c>
      <c r="CU267" s="469">
        <f t="shared" si="147"/>
        <v>0</v>
      </c>
      <c r="CV267" s="469">
        <f t="shared" si="147"/>
        <v>0</v>
      </c>
      <c r="CW267" s="469">
        <f t="shared" si="147"/>
        <v>0</v>
      </c>
      <c r="CX267" s="469">
        <f t="shared" si="147"/>
        <v>0</v>
      </c>
      <c r="CY267" s="469">
        <f t="shared" si="147"/>
        <v>0</v>
      </c>
      <c r="CZ267" s="471"/>
      <c r="DA267" s="471"/>
      <c r="DB267" s="469">
        <f t="shared" ref="DB267:DL267" si="148">(IF($G31=DB$257,$L$246,0))</f>
        <v>0</v>
      </c>
      <c r="DC267" s="469">
        <f t="shared" si="148"/>
        <v>0</v>
      </c>
      <c r="DD267" s="469">
        <f t="shared" si="148"/>
        <v>0</v>
      </c>
      <c r="DE267" s="469">
        <f t="shared" si="148"/>
        <v>0</v>
      </c>
      <c r="DF267" s="469">
        <f t="shared" si="148"/>
        <v>0</v>
      </c>
      <c r="DG267" s="469">
        <f t="shared" si="148"/>
        <v>0</v>
      </c>
      <c r="DH267" s="469">
        <f t="shared" si="148"/>
        <v>0</v>
      </c>
      <c r="DI267" s="469">
        <f t="shared" si="148"/>
        <v>0</v>
      </c>
      <c r="DJ267" s="469">
        <f t="shared" si="148"/>
        <v>0</v>
      </c>
      <c r="DK267" s="469">
        <f t="shared" si="148"/>
        <v>0</v>
      </c>
      <c r="DL267" s="469">
        <f t="shared" si="148"/>
        <v>0</v>
      </c>
      <c r="DM267" s="469">
        <f t="shared" ref="DM267:DT267" si="149">(IF($G31=DM$257,$L$246,0))</f>
        <v>0</v>
      </c>
      <c r="DN267" s="469">
        <f t="shared" si="149"/>
        <v>0</v>
      </c>
      <c r="DO267" s="469">
        <f t="shared" si="149"/>
        <v>0</v>
      </c>
      <c r="DP267" s="469">
        <f t="shared" si="149"/>
        <v>0</v>
      </c>
      <c r="DQ267" s="469">
        <f t="shared" si="149"/>
        <v>0</v>
      </c>
      <c r="DR267" s="469">
        <f t="shared" si="149"/>
        <v>0</v>
      </c>
      <c r="DS267" s="469">
        <f t="shared" si="149"/>
        <v>0</v>
      </c>
      <c r="DT267" s="469">
        <f t="shared" si="149"/>
        <v>0</v>
      </c>
      <c r="DU267" s="469"/>
      <c r="DV267" s="469"/>
      <c r="DW267" s="471"/>
      <c r="DX267" s="471"/>
      <c r="DY267" s="474">
        <f t="shared" si="66"/>
        <v>0</v>
      </c>
      <c r="EA267" s="477">
        <f t="shared" si="67"/>
        <v>0</v>
      </c>
      <c r="EG267" s="479">
        <f t="shared" si="46"/>
        <v>9.9999999999999995E-8</v>
      </c>
      <c r="EH267" s="480">
        <f t="shared" si="68"/>
        <v>1500</v>
      </c>
      <c r="EI267" s="480">
        <f t="shared" si="69"/>
        <v>0</v>
      </c>
      <c r="EJ267" s="480">
        <f t="shared" si="70"/>
        <v>0</v>
      </c>
      <c r="EK267" s="480">
        <f t="shared" si="71"/>
        <v>0</v>
      </c>
      <c r="EL267" s="480">
        <f t="shared" si="72"/>
        <v>1500</v>
      </c>
      <c r="EM267" s="480"/>
      <c r="EN267" s="480">
        <f t="shared" si="73"/>
        <v>1500</v>
      </c>
      <c r="EO267" s="655">
        <f t="shared" si="74"/>
        <v>0</v>
      </c>
      <c r="EP267" s="655">
        <f t="shared" si="75"/>
        <v>1500</v>
      </c>
      <c r="EQ267" s="481"/>
      <c r="ER267" s="655">
        <f t="shared" si="76"/>
        <v>1500</v>
      </c>
      <c r="ES267" s="656">
        <f t="shared" si="77"/>
        <v>1500</v>
      </c>
      <c r="ET267" s="656">
        <f t="shared" si="78"/>
        <v>0</v>
      </c>
      <c r="EU267" s="656">
        <f t="shared" si="79"/>
        <v>0</v>
      </c>
      <c r="EV267" s="656">
        <f t="shared" si="80"/>
        <v>1500</v>
      </c>
      <c r="EW267" s="483">
        <f t="shared" si="81"/>
        <v>1500</v>
      </c>
      <c r="EX267" s="398">
        <f t="shared" si="82"/>
        <v>0</v>
      </c>
      <c r="EY267" s="285" t="str">
        <f t="shared" si="47"/>
        <v>X</v>
      </c>
      <c r="EZ267" s="245">
        <f t="shared" si="83"/>
        <v>0</v>
      </c>
      <c r="FA267" s="245">
        <f t="shared" si="84"/>
        <v>0</v>
      </c>
    </row>
    <row r="268" spans="1:157" ht="15" customHeight="1">
      <c r="A268" s="244">
        <f t="shared" si="48"/>
        <v>-0.05</v>
      </c>
      <c r="B268" s="282">
        <v>9</v>
      </c>
      <c r="C268" s="644">
        <f t="shared" si="26"/>
        <v>0</v>
      </c>
      <c r="D268" s="245">
        <f t="shared" si="27"/>
        <v>0</v>
      </c>
      <c r="E268" s="444">
        <f t="shared" si="85"/>
        <v>0</v>
      </c>
      <c r="F268" s="442">
        <f>(PROPOSITION!AA29)+A268</f>
        <v>-0.05</v>
      </c>
      <c r="G268" s="442">
        <f t="shared" si="28"/>
        <v>0</v>
      </c>
      <c r="H268" s="445">
        <f t="shared" si="86"/>
        <v>0</v>
      </c>
      <c r="I268" s="444">
        <f t="shared" si="86"/>
        <v>-0.1</v>
      </c>
      <c r="J268" s="646">
        <f t="shared" si="29"/>
        <v>0</v>
      </c>
      <c r="K268" s="442">
        <f>IF(PROPOSITION!S29="N",-0.2,0)</f>
        <v>0</v>
      </c>
      <c r="L268" s="442">
        <f t="shared" si="87"/>
        <v>0</v>
      </c>
      <c r="N268" s="442">
        <f t="shared" si="88"/>
        <v>0</v>
      </c>
      <c r="O268" s="645">
        <f t="shared" si="49"/>
        <v>0</v>
      </c>
      <c r="P268" s="645">
        <f t="shared" si="50"/>
        <v>0</v>
      </c>
      <c r="Q268" s="442">
        <f t="shared" si="30"/>
        <v>0</v>
      </c>
      <c r="R268" s="444">
        <f t="shared" si="31"/>
        <v>0.2</v>
      </c>
      <c r="S268" s="444">
        <f t="shared" si="89"/>
        <v>0</v>
      </c>
      <c r="T268" s="399">
        <f t="shared" si="32"/>
        <v>0</v>
      </c>
      <c r="U268" s="513">
        <f t="shared" si="51"/>
        <v>0</v>
      </c>
      <c r="V268" s="282"/>
      <c r="W268" s="476">
        <f t="shared" si="52"/>
        <v>4.9999999999999989E-2</v>
      </c>
      <c r="Y268" s="475">
        <f t="shared" si="53"/>
        <v>4.9999999999999989E-2</v>
      </c>
      <c r="Z268" s="475">
        <f t="shared" si="33"/>
        <v>0</v>
      </c>
      <c r="AA268" s="395">
        <v>0</v>
      </c>
      <c r="AB268" s="629">
        <f t="shared" si="54"/>
        <v>0</v>
      </c>
      <c r="AC268" s="612">
        <f>PROPOSITION!Y29</f>
        <v>0</v>
      </c>
      <c r="AD268" s="396">
        <f t="shared" si="55"/>
        <v>0</v>
      </c>
      <c r="AE268" s="396"/>
      <c r="AF268" s="396"/>
      <c r="AH268" s="469">
        <f t="shared" si="34"/>
        <v>0</v>
      </c>
      <c r="AI268" s="469">
        <f t="shared" si="34"/>
        <v>0</v>
      </c>
      <c r="AJ268" s="469">
        <f t="shared" si="34"/>
        <v>0</v>
      </c>
      <c r="AK268" s="469">
        <f t="shared" si="34"/>
        <v>0</v>
      </c>
      <c r="AL268" s="469"/>
      <c r="AM268" s="469"/>
      <c r="AN268" s="469"/>
      <c r="AO268" s="469">
        <f t="shared" ref="AO268:AV268" si="150">(IF($G32=AO$257,$L$244,0))</f>
        <v>0</v>
      </c>
      <c r="AP268" s="469">
        <f t="shared" si="150"/>
        <v>0</v>
      </c>
      <c r="AQ268" s="469">
        <f t="shared" si="150"/>
        <v>0</v>
      </c>
      <c r="AR268" s="469">
        <f t="shared" si="150"/>
        <v>0</v>
      </c>
      <c r="AS268" s="469">
        <f t="shared" si="150"/>
        <v>0</v>
      </c>
      <c r="AT268" s="469">
        <f t="shared" si="150"/>
        <v>0</v>
      </c>
      <c r="AU268" s="469">
        <f t="shared" si="150"/>
        <v>0</v>
      </c>
      <c r="AV268" s="469">
        <f t="shared" si="150"/>
        <v>0</v>
      </c>
      <c r="AW268" s="469">
        <f t="shared" si="36"/>
        <v>0</v>
      </c>
      <c r="AX268" s="469">
        <f t="shared" si="36"/>
        <v>0</v>
      </c>
      <c r="AY268" s="469">
        <f t="shared" si="36"/>
        <v>0</v>
      </c>
      <c r="AZ268" s="469">
        <f t="shared" ref="AZ268:BB268" si="151">(IF($G32=AZ$257,$L$244,0))</f>
        <v>0</v>
      </c>
      <c r="BA268" s="469">
        <f t="shared" si="151"/>
        <v>0</v>
      </c>
      <c r="BB268" s="653">
        <f t="shared" si="151"/>
        <v>0</v>
      </c>
      <c r="BC268" s="653">
        <f t="shared" ref="BC268" si="152">(IF($G32=BC$257,$L$244,0))</f>
        <v>0</v>
      </c>
      <c r="BD268" s="469">
        <f t="shared" ref="BD268:BM268" si="153">(IF($G32=BD$257,$L$248,0))</f>
        <v>0</v>
      </c>
      <c r="BE268" s="469">
        <f t="shared" si="153"/>
        <v>0</v>
      </c>
      <c r="BF268" s="469">
        <f t="shared" si="153"/>
        <v>0</v>
      </c>
      <c r="BG268" s="469">
        <f t="shared" si="153"/>
        <v>0</v>
      </c>
      <c r="BH268" s="469">
        <f t="shared" si="153"/>
        <v>0</v>
      </c>
      <c r="BI268" s="469">
        <f t="shared" si="153"/>
        <v>0</v>
      </c>
      <c r="BJ268" s="469">
        <f t="shared" si="153"/>
        <v>0</v>
      </c>
      <c r="BK268" s="469">
        <f t="shared" si="153"/>
        <v>0</v>
      </c>
      <c r="BL268" s="469">
        <f t="shared" si="153"/>
        <v>0</v>
      </c>
      <c r="BM268" s="469">
        <f t="shared" si="153"/>
        <v>0</v>
      </c>
      <c r="BN268" s="470"/>
      <c r="BO268" s="470"/>
      <c r="BP268" s="469">
        <f t="shared" ref="BP268:BX268" si="154">(IF($G32=BP$257,$L$245,0))</f>
        <v>0</v>
      </c>
      <c r="BQ268" s="469">
        <f t="shared" si="154"/>
        <v>0</v>
      </c>
      <c r="BR268" s="469">
        <f t="shared" si="154"/>
        <v>0</v>
      </c>
      <c r="BS268" s="469">
        <f t="shared" si="154"/>
        <v>0</v>
      </c>
      <c r="BT268" s="469">
        <f t="shared" si="154"/>
        <v>0</v>
      </c>
      <c r="BU268" s="469">
        <f t="shared" si="154"/>
        <v>0</v>
      </c>
      <c r="BV268" s="469">
        <f t="shared" si="154"/>
        <v>0</v>
      </c>
      <c r="BW268" s="469">
        <f t="shared" si="154"/>
        <v>0</v>
      </c>
      <c r="BX268" s="469">
        <f t="shared" si="154"/>
        <v>0</v>
      </c>
      <c r="BY268" s="469">
        <f t="shared" ref="BY268:CJ268" si="155">(IF($G32=BY$257,$L$245,0))</f>
        <v>0</v>
      </c>
      <c r="BZ268" s="469">
        <f t="shared" si="155"/>
        <v>0</v>
      </c>
      <c r="CA268" s="469">
        <f t="shared" si="155"/>
        <v>0</v>
      </c>
      <c r="CB268" s="469">
        <f t="shared" si="155"/>
        <v>0</v>
      </c>
      <c r="CC268" s="469">
        <f t="shared" si="155"/>
        <v>0</v>
      </c>
      <c r="CD268" s="469">
        <f t="shared" si="155"/>
        <v>0</v>
      </c>
      <c r="CE268" s="469">
        <f t="shared" si="155"/>
        <v>0</v>
      </c>
      <c r="CF268" s="469">
        <f t="shared" si="155"/>
        <v>0</v>
      </c>
      <c r="CG268" s="469">
        <f t="shared" si="155"/>
        <v>0</v>
      </c>
      <c r="CH268" s="469">
        <f t="shared" si="155"/>
        <v>0</v>
      </c>
      <c r="CI268" s="469">
        <f t="shared" si="155"/>
        <v>0</v>
      </c>
      <c r="CJ268" s="469">
        <f t="shared" si="155"/>
        <v>0</v>
      </c>
      <c r="CK268" s="469">
        <f t="shared" ref="CK268" si="156">(IF($G32=CK$257,$L$245,0))</f>
        <v>0</v>
      </c>
      <c r="CL268" s="469"/>
      <c r="CM268" s="471"/>
      <c r="CN268" s="469">
        <f t="shared" si="42"/>
        <v>0</v>
      </c>
      <c r="CO268" s="469">
        <f t="shared" si="42"/>
        <v>0</v>
      </c>
      <c r="CP268" s="469">
        <f t="shared" si="42"/>
        <v>0</v>
      </c>
      <c r="CQ268" s="471"/>
      <c r="CR268" s="471"/>
      <c r="CS268" s="469">
        <f t="shared" ref="CS268:CY268" si="157">(IF($G32=CS$257,$L$250,0))</f>
        <v>0</v>
      </c>
      <c r="CT268" s="469">
        <f t="shared" si="157"/>
        <v>0</v>
      </c>
      <c r="CU268" s="469">
        <f t="shared" si="157"/>
        <v>0</v>
      </c>
      <c r="CV268" s="469">
        <f t="shared" si="157"/>
        <v>0</v>
      </c>
      <c r="CW268" s="469">
        <f t="shared" si="157"/>
        <v>0</v>
      </c>
      <c r="CX268" s="469">
        <f t="shared" si="157"/>
        <v>0</v>
      </c>
      <c r="CY268" s="469">
        <f t="shared" si="157"/>
        <v>0</v>
      </c>
      <c r="CZ268" s="471"/>
      <c r="DA268" s="471"/>
      <c r="DB268" s="469">
        <f t="shared" ref="DB268:DL268" si="158">(IF($G32=DB$257,$L$246,0))</f>
        <v>0</v>
      </c>
      <c r="DC268" s="469">
        <f t="shared" si="158"/>
        <v>0</v>
      </c>
      <c r="DD268" s="469">
        <f t="shared" si="158"/>
        <v>0</v>
      </c>
      <c r="DE268" s="469">
        <f t="shared" si="158"/>
        <v>0</v>
      </c>
      <c r="DF268" s="469">
        <f t="shared" si="158"/>
        <v>0</v>
      </c>
      <c r="DG268" s="469">
        <f t="shared" si="158"/>
        <v>0</v>
      </c>
      <c r="DH268" s="469">
        <f t="shared" si="158"/>
        <v>0</v>
      </c>
      <c r="DI268" s="469">
        <f t="shared" si="158"/>
        <v>0</v>
      </c>
      <c r="DJ268" s="469">
        <f t="shared" si="158"/>
        <v>0</v>
      </c>
      <c r="DK268" s="469">
        <f t="shared" si="158"/>
        <v>0</v>
      </c>
      <c r="DL268" s="469">
        <f t="shared" si="158"/>
        <v>0</v>
      </c>
      <c r="DM268" s="469">
        <f t="shared" ref="DM268:DT268" si="159">(IF($G32=DM$257,$L$246,0))</f>
        <v>0</v>
      </c>
      <c r="DN268" s="469">
        <f t="shared" si="159"/>
        <v>0</v>
      </c>
      <c r="DO268" s="469">
        <f t="shared" si="159"/>
        <v>0</v>
      </c>
      <c r="DP268" s="469">
        <f t="shared" si="159"/>
        <v>0</v>
      </c>
      <c r="DQ268" s="469">
        <f t="shared" si="159"/>
        <v>0</v>
      </c>
      <c r="DR268" s="469">
        <f t="shared" si="159"/>
        <v>0</v>
      </c>
      <c r="DS268" s="469">
        <f t="shared" si="159"/>
        <v>0</v>
      </c>
      <c r="DT268" s="469">
        <f t="shared" si="159"/>
        <v>0</v>
      </c>
      <c r="DU268" s="469"/>
      <c r="DV268" s="469"/>
      <c r="DW268" s="471"/>
      <c r="DX268" s="471"/>
      <c r="DY268" s="474">
        <f t="shared" si="66"/>
        <v>0</v>
      </c>
      <c r="EA268" s="477">
        <f t="shared" si="67"/>
        <v>0</v>
      </c>
      <c r="EG268" s="479">
        <f t="shared" si="46"/>
        <v>9.9999999999999995E-8</v>
      </c>
      <c r="EH268" s="480">
        <f t="shared" si="68"/>
        <v>1500</v>
      </c>
      <c r="EI268" s="480">
        <f t="shared" si="69"/>
        <v>0</v>
      </c>
      <c r="EJ268" s="480">
        <f t="shared" si="70"/>
        <v>0</v>
      </c>
      <c r="EK268" s="480">
        <f t="shared" si="71"/>
        <v>0</v>
      </c>
      <c r="EL268" s="480">
        <f t="shared" si="72"/>
        <v>1500</v>
      </c>
      <c r="EM268" s="480"/>
      <c r="EN268" s="480">
        <f t="shared" si="73"/>
        <v>1500</v>
      </c>
      <c r="EO268" s="655">
        <f t="shared" si="74"/>
        <v>0</v>
      </c>
      <c r="EP268" s="655">
        <f t="shared" si="75"/>
        <v>1500</v>
      </c>
      <c r="EQ268" s="481"/>
      <c r="ER268" s="655">
        <f t="shared" si="76"/>
        <v>1500</v>
      </c>
      <c r="ES268" s="656">
        <f t="shared" si="77"/>
        <v>1500</v>
      </c>
      <c r="ET268" s="656">
        <f t="shared" si="78"/>
        <v>0</v>
      </c>
      <c r="EU268" s="656">
        <f t="shared" si="79"/>
        <v>0</v>
      </c>
      <c r="EV268" s="656">
        <f t="shared" si="80"/>
        <v>1500</v>
      </c>
      <c r="EW268" s="483">
        <f t="shared" si="81"/>
        <v>1500</v>
      </c>
      <c r="EX268" s="398">
        <f t="shared" si="82"/>
        <v>0</v>
      </c>
      <c r="EY268" s="285" t="str">
        <f t="shared" si="47"/>
        <v>X</v>
      </c>
      <c r="EZ268" s="245">
        <f t="shared" si="83"/>
        <v>0</v>
      </c>
      <c r="FA268" s="245">
        <f t="shared" si="84"/>
        <v>0</v>
      </c>
    </row>
    <row r="269" spans="1:157" ht="15" customHeight="1">
      <c r="A269" s="244">
        <f t="shared" si="48"/>
        <v>-0.05</v>
      </c>
      <c r="B269" s="282">
        <v>10</v>
      </c>
      <c r="C269" s="644">
        <f t="shared" si="26"/>
        <v>0</v>
      </c>
      <c r="D269" s="245">
        <f t="shared" si="27"/>
        <v>0</v>
      </c>
      <c r="E269" s="444">
        <f t="shared" si="85"/>
        <v>0</v>
      </c>
      <c r="F269" s="442">
        <f>(PROPOSITION!AA30)+A269</f>
        <v>-0.05</v>
      </c>
      <c r="G269" s="442">
        <f t="shared" si="28"/>
        <v>0</v>
      </c>
      <c r="H269" s="445">
        <f t="shared" si="86"/>
        <v>0</v>
      </c>
      <c r="I269" s="444">
        <f t="shared" si="86"/>
        <v>-0.1</v>
      </c>
      <c r="J269" s="646">
        <f t="shared" si="29"/>
        <v>0</v>
      </c>
      <c r="K269" s="442">
        <f>IF(PROPOSITION!S30="N",-0.2,0)</f>
        <v>0</v>
      </c>
      <c r="L269" s="442">
        <f t="shared" si="87"/>
        <v>0</v>
      </c>
      <c r="N269" s="442">
        <f t="shared" si="88"/>
        <v>0</v>
      </c>
      <c r="O269" s="645">
        <f t="shared" si="49"/>
        <v>0</v>
      </c>
      <c r="P269" s="645">
        <f t="shared" si="50"/>
        <v>0</v>
      </c>
      <c r="Q269" s="442">
        <f t="shared" si="30"/>
        <v>0</v>
      </c>
      <c r="R269" s="444">
        <f t="shared" si="31"/>
        <v>0.2</v>
      </c>
      <c r="S269" s="444">
        <f t="shared" si="89"/>
        <v>0</v>
      </c>
      <c r="T269" s="399">
        <f t="shared" si="32"/>
        <v>0</v>
      </c>
      <c r="U269" s="513">
        <f t="shared" si="51"/>
        <v>0</v>
      </c>
      <c r="V269" s="282"/>
      <c r="W269" s="476">
        <f t="shared" si="52"/>
        <v>4.9999999999999989E-2</v>
      </c>
      <c r="Y269" s="475">
        <f t="shared" si="53"/>
        <v>4.9999999999999989E-2</v>
      </c>
      <c r="Z269" s="475">
        <f t="shared" si="33"/>
        <v>0</v>
      </c>
      <c r="AA269" s="395">
        <v>0</v>
      </c>
      <c r="AB269" s="629">
        <f t="shared" si="54"/>
        <v>0</v>
      </c>
      <c r="AC269" s="612">
        <f>PROPOSITION!Y30</f>
        <v>0</v>
      </c>
      <c r="AD269" s="396">
        <f t="shared" si="55"/>
        <v>0</v>
      </c>
      <c r="AE269" s="396"/>
      <c r="AF269" s="396"/>
      <c r="AH269" s="469">
        <f t="shared" si="34"/>
        <v>0</v>
      </c>
      <c r="AI269" s="469">
        <f t="shared" si="34"/>
        <v>0</v>
      </c>
      <c r="AJ269" s="469">
        <f t="shared" si="34"/>
        <v>0</v>
      </c>
      <c r="AK269" s="469">
        <f t="shared" si="34"/>
        <v>0</v>
      </c>
      <c r="AL269" s="469"/>
      <c r="AM269" s="469"/>
      <c r="AN269" s="469"/>
      <c r="AO269" s="469">
        <f t="shared" ref="AO269:AV269" si="160">(IF($G33=AO$257,$L$244,0))</f>
        <v>0</v>
      </c>
      <c r="AP269" s="469">
        <f t="shared" si="160"/>
        <v>0</v>
      </c>
      <c r="AQ269" s="469">
        <f t="shared" si="160"/>
        <v>0</v>
      </c>
      <c r="AR269" s="469">
        <f t="shared" si="160"/>
        <v>0</v>
      </c>
      <c r="AS269" s="469">
        <f t="shared" si="160"/>
        <v>0</v>
      </c>
      <c r="AT269" s="469">
        <f t="shared" si="160"/>
        <v>0</v>
      </c>
      <c r="AU269" s="469">
        <f t="shared" si="160"/>
        <v>0</v>
      </c>
      <c r="AV269" s="469">
        <f t="shared" si="160"/>
        <v>0</v>
      </c>
      <c r="AW269" s="469">
        <f t="shared" si="36"/>
        <v>0</v>
      </c>
      <c r="AX269" s="469">
        <f t="shared" si="36"/>
        <v>0</v>
      </c>
      <c r="AY269" s="469">
        <f t="shared" si="36"/>
        <v>0</v>
      </c>
      <c r="AZ269" s="469">
        <f t="shared" ref="AZ269:BB269" si="161">(IF($G33=AZ$257,$L$244,0))</f>
        <v>0</v>
      </c>
      <c r="BA269" s="469">
        <f t="shared" si="161"/>
        <v>0</v>
      </c>
      <c r="BB269" s="653">
        <f t="shared" si="161"/>
        <v>0</v>
      </c>
      <c r="BC269" s="653">
        <f t="shared" ref="BC269" si="162">(IF($G33=BC$257,$L$244,0))</f>
        <v>0</v>
      </c>
      <c r="BD269" s="469">
        <f t="shared" ref="BD269:BM269" si="163">(IF($G33=BD$257,$L$248,0))</f>
        <v>0</v>
      </c>
      <c r="BE269" s="469">
        <f t="shared" si="163"/>
        <v>0</v>
      </c>
      <c r="BF269" s="469">
        <f t="shared" si="163"/>
        <v>0</v>
      </c>
      <c r="BG269" s="469">
        <f t="shared" si="163"/>
        <v>0</v>
      </c>
      <c r="BH269" s="469">
        <f t="shared" si="163"/>
        <v>0</v>
      </c>
      <c r="BI269" s="469">
        <f t="shared" si="163"/>
        <v>0</v>
      </c>
      <c r="BJ269" s="469">
        <f t="shared" si="163"/>
        <v>0</v>
      </c>
      <c r="BK269" s="469">
        <f t="shared" si="163"/>
        <v>0</v>
      </c>
      <c r="BL269" s="469">
        <f t="shared" si="163"/>
        <v>0</v>
      </c>
      <c r="BM269" s="469">
        <f t="shared" si="163"/>
        <v>0</v>
      </c>
      <c r="BN269" s="470"/>
      <c r="BO269" s="470"/>
      <c r="BP269" s="469">
        <f t="shared" ref="BP269:BX269" si="164">(IF($G33=BP$257,$L$245,0))</f>
        <v>0</v>
      </c>
      <c r="BQ269" s="469">
        <f t="shared" si="164"/>
        <v>0</v>
      </c>
      <c r="BR269" s="469">
        <f t="shared" si="164"/>
        <v>0</v>
      </c>
      <c r="BS269" s="469">
        <f t="shared" si="164"/>
        <v>0</v>
      </c>
      <c r="BT269" s="469">
        <f t="shared" si="164"/>
        <v>0</v>
      </c>
      <c r="BU269" s="469">
        <f t="shared" si="164"/>
        <v>0</v>
      </c>
      <c r="BV269" s="469">
        <f t="shared" si="164"/>
        <v>0</v>
      </c>
      <c r="BW269" s="469">
        <f t="shared" si="164"/>
        <v>0</v>
      </c>
      <c r="BX269" s="469">
        <f t="shared" si="164"/>
        <v>0</v>
      </c>
      <c r="BY269" s="469">
        <f t="shared" ref="BY269:CJ269" si="165">(IF($G33=BY$257,$L$245,0))</f>
        <v>0</v>
      </c>
      <c r="BZ269" s="469">
        <f t="shared" si="165"/>
        <v>0</v>
      </c>
      <c r="CA269" s="469">
        <f t="shared" si="165"/>
        <v>0</v>
      </c>
      <c r="CB269" s="469">
        <f t="shared" si="165"/>
        <v>0</v>
      </c>
      <c r="CC269" s="469">
        <f t="shared" si="165"/>
        <v>0</v>
      </c>
      <c r="CD269" s="469">
        <f t="shared" si="165"/>
        <v>0</v>
      </c>
      <c r="CE269" s="469">
        <f t="shared" si="165"/>
        <v>0</v>
      </c>
      <c r="CF269" s="469">
        <f t="shared" si="165"/>
        <v>0</v>
      </c>
      <c r="CG269" s="469">
        <f t="shared" si="165"/>
        <v>0</v>
      </c>
      <c r="CH269" s="469">
        <f t="shared" si="165"/>
        <v>0</v>
      </c>
      <c r="CI269" s="469">
        <f t="shared" si="165"/>
        <v>0</v>
      </c>
      <c r="CJ269" s="469">
        <f t="shared" si="165"/>
        <v>0</v>
      </c>
      <c r="CK269" s="469">
        <f t="shared" ref="CK269" si="166">(IF($G33=CK$257,$L$245,0))</f>
        <v>0</v>
      </c>
      <c r="CL269" s="469"/>
      <c r="CM269" s="471"/>
      <c r="CN269" s="469">
        <f t="shared" si="42"/>
        <v>0</v>
      </c>
      <c r="CO269" s="469">
        <f t="shared" si="42"/>
        <v>0</v>
      </c>
      <c r="CP269" s="469">
        <f t="shared" si="42"/>
        <v>0</v>
      </c>
      <c r="CQ269" s="471"/>
      <c r="CR269" s="471"/>
      <c r="CS269" s="469">
        <f t="shared" ref="CS269:CY269" si="167">(IF($G33=CS$257,$L$250,0))</f>
        <v>0</v>
      </c>
      <c r="CT269" s="469">
        <f t="shared" si="167"/>
        <v>0</v>
      </c>
      <c r="CU269" s="469">
        <f t="shared" si="167"/>
        <v>0</v>
      </c>
      <c r="CV269" s="469">
        <f t="shared" si="167"/>
        <v>0</v>
      </c>
      <c r="CW269" s="469">
        <f t="shared" si="167"/>
        <v>0</v>
      </c>
      <c r="CX269" s="469">
        <f t="shared" si="167"/>
        <v>0</v>
      </c>
      <c r="CY269" s="469">
        <f t="shared" si="167"/>
        <v>0</v>
      </c>
      <c r="CZ269" s="471"/>
      <c r="DA269" s="471"/>
      <c r="DB269" s="469">
        <f t="shared" ref="DB269:DL269" si="168">(IF($G33=DB$257,$L$246,0))</f>
        <v>0</v>
      </c>
      <c r="DC269" s="469">
        <f t="shared" si="168"/>
        <v>0</v>
      </c>
      <c r="DD269" s="469">
        <f t="shared" si="168"/>
        <v>0</v>
      </c>
      <c r="DE269" s="469">
        <f t="shared" si="168"/>
        <v>0</v>
      </c>
      <c r="DF269" s="469">
        <f t="shared" si="168"/>
        <v>0</v>
      </c>
      <c r="DG269" s="469">
        <f t="shared" si="168"/>
        <v>0</v>
      </c>
      <c r="DH269" s="469">
        <f t="shared" si="168"/>
        <v>0</v>
      </c>
      <c r="DI269" s="469">
        <f t="shared" si="168"/>
        <v>0</v>
      </c>
      <c r="DJ269" s="469">
        <f t="shared" si="168"/>
        <v>0</v>
      </c>
      <c r="DK269" s="469">
        <f t="shared" si="168"/>
        <v>0</v>
      </c>
      <c r="DL269" s="469">
        <f t="shared" si="168"/>
        <v>0</v>
      </c>
      <c r="DM269" s="469">
        <f t="shared" ref="DM269:DT269" si="169">(IF($G33=DM$257,$L$246,0))</f>
        <v>0</v>
      </c>
      <c r="DN269" s="469">
        <f t="shared" si="169"/>
        <v>0</v>
      </c>
      <c r="DO269" s="469">
        <f t="shared" si="169"/>
        <v>0</v>
      </c>
      <c r="DP269" s="469">
        <f t="shared" si="169"/>
        <v>0</v>
      </c>
      <c r="DQ269" s="469">
        <f t="shared" si="169"/>
        <v>0</v>
      </c>
      <c r="DR269" s="469">
        <f t="shared" si="169"/>
        <v>0</v>
      </c>
      <c r="DS269" s="469">
        <f t="shared" si="169"/>
        <v>0</v>
      </c>
      <c r="DT269" s="469">
        <f t="shared" si="169"/>
        <v>0</v>
      </c>
      <c r="DU269" s="469"/>
      <c r="DV269" s="469"/>
      <c r="DW269" s="471"/>
      <c r="DX269" s="471"/>
      <c r="DY269" s="474">
        <f t="shared" si="66"/>
        <v>0</v>
      </c>
      <c r="EA269" s="477">
        <f t="shared" si="67"/>
        <v>0</v>
      </c>
      <c r="EG269" s="479">
        <f t="shared" si="46"/>
        <v>9.9999999999999995E-8</v>
      </c>
      <c r="EH269" s="480">
        <f t="shared" si="68"/>
        <v>1500</v>
      </c>
      <c r="EI269" s="480">
        <f t="shared" si="69"/>
        <v>0</v>
      </c>
      <c r="EJ269" s="480">
        <f t="shared" si="70"/>
        <v>0</v>
      </c>
      <c r="EK269" s="480">
        <f t="shared" si="71"/>
        <v>0</v>
      </c>
      <c r="EL269" s="480">
        <f t="shared" si="72"/>
        <v>1500</v>
      </c>
      <c r="EM269" s="480"/>
      <c r="EN269" s="480">
        <f t="shared" si="73"/>
        <v>1500</v>
      </c>
      <c r="EO269" s="655">
        <f t="shared" si="74"/>
        <v>0</v>
      </c>
      <c r="EP269" s="655">
        <f t="shared" si="75"/>
        <v>1500</v>
      </c>
      <c r="EQ269" s="481"/>
      <c r="ER269" s="655">
        <f t="shared" si="76"/>
        <v>1500</v>
      </c>
      <c r="ES269" s="656">
        <f t="shared" si="77"/>
        <v>1500</v>
      </c>
      <c r="ET269" s="656">
        <f t="shared" si="78"/>
        <v>0</v>
      </c>
      <c r="EU269" s="656">
        <f t="shared" si="79"/>
        <v>0</v>
      </c>
      <c r="EV269" s="656">
        <f t="shared" si="80"/>
        <v>1500</v>
      </c>
      <c r="EW269" s="483">
        <f t="shared" si="81"/>
        <v>1500</v>
      </c>
      <c r="EX269" s="398">
        <f t="shared" si="82"/>
        <v>0</v>
      </c>
      <c r="EY269" s="285" t="str">
        <f t="shared" si="47"/>
        <v>X</v>
      </c>
      <c r="EZ269" s="245">
        <f t="shared" si="83"/>
        <v>0</v>
      </c>
      <c r="FA269" s="245">
        <f t="shared" si="84"/>
        <v>0</v>
      </c>
    </row>
    <row r="270" spans="1:157" ht="15" customHeight="1">
      <c r="A270" s="244">
        <f t="shared" si="48"/>
        <v>-0.05</v>
      </c>
      <c r="B270" s="282">
        <v>11</v>
      </c>
      <c r="C270" s="644">
        <f t="shared" si="26"/>
        <v>0</v>
      </c>
      <c r="D270" s="245">
        <f t="shared" si="27"/>
        <v>0</v>
      </c>
      <c r="E270" s="444">
        <f t="shared" si="85"/>
        <v>0</v>
      </c>
      <c r="F270" s="442">
        <f>(PROPOSITION!AA31)+A270</f>
        <v>-0.05</v>
      </c>
      <c r="G270" s="442">
        <f t="shared" si="28"/>
        <v>0</v>
      </c>
      <c r="H270" s="445">
        <f t="shared" si="86"/>
        <v>0</v>
      </c>
      <c r="I270" s="444">
        <f t="shared" si="86"/>
        <v>-0.1</v>
      </c>
      <c r="J270" s="646">
        <f t="shared" si="29"/>
        <v>0</v>
      </c>
      <c r="K270" s="442">
        <f>IF(PROPOSITION!S31="N",-0.2,0)</f>
        <v>0</v>
      </c>
      <c r="L270" s="442">
        <f t="shared" si="87"/>
        <v>0</v>
      </c>
      <c r="N270" s="442">
        <f t="shared" si="88"/>
        <v>0</v>
      </c>
      <c r="O270" s="645">
        <f t="shared" si="49"/>
        <v>0</v>
      </c>
      <c r="P270" s="645">
        <f t="shared" si="50"/>
        <v>0</v>
      </c>
      <c r="Q270" s="442">
        <f t="shared" si="30"/>
        <v>0</v>
      </c>
      <c r="R270" s="444">
        <f t="shared" si="31"/>
        <v>0.2</v>
      </c>
      <c r="S270" s="444">
        <f t="shared" si="89"/>
        <v>0</v>
      </c>
      <c r="T270" s="399">
        <f t="shared" si="32"/>
        <v>0</v>
      </c>
      <c r="U270" s="513">
        <f t="shared" si="51"/>
        <v>0</v>
      </c>
      <c r="V270" s="282"/>
      <c r="W270" s="476">
        <f t="shared" si="52"/>
        <v>4.9999999999999989E-2</v>
      </c>
      <c r="Y270" s="475">
        <f t="shared" si="53"/>
        <v>4.9999999999999989E-2</v>
      </c>
      <c r="Z270" s="475">
        <f t="shared" si="33"/>
        <v>0</v>
      </c>
      <c r="AA270" s="395">
        <v>0</v>
      </c>
      <c r="AB270" s="629">
        <f t="shared" si="54"/>
        <v>0</v>
      </c>
      <c r="AC270" s="612">
        <f>PROPOSITION!Y31</f>
        <v>0</v>
      </c>
      <c r="AD270" s="396">
        <f t="shared" si="55"/>
        <v>0</v>
      </c>
      <c r="AE270" s="396"/>
      <c r="AF270" s="396"/>
      <c r="AH270" s="469">
        <f t="shared" si="34"/>
        <v>0</v>
      </c>
      <c r="AI270" s="469">
        <f t="shared" si="34"/>
        <v>0</v>
      </c>
      <c r="AJ270" s="469">
        <f t="shared" si="34"/>
        <v>0</v>
      </c>
      <c r="AK270" s="469">
        <f t="shared" si="34"/>
        <v>0</v>
      </c>
      <c r="AL270" s="469"/>
      <c r="AM270" s="469"/>
      <c r="AN270" s="469"/>
      <c r="AO270" s="469">
        <f t="shared" ref="AO270:AV270" si="170">(IF($G34=AO$257,$L$244,0))</f>
        <v>0</v>
      </c>
      <c r="AP270" s="469">
        <f t="shared" si="170"/>
        <v>0</v>
      </c>
      <c r="AQ270" s="469">
        <f t="shared" si="170"/>
        <v>0</v>
      </c>
      <c r="AR270" s="469">
        <f t="shared" si="170"/>
        <v>0</v>
      </c>
      <c r="AS270" s="469">
        <f t="shared" si="170"/>
        <v>0</v>
      </c>
      <c r="AT270" s="469">
        <f t="shared" si="170"/>
        <v>0</v>
      </c>
      <c r="AU270" s="469">
        <f t="shared" si="170"/>
        <v>0</v>
      </c>
      <c r="AV270" s="469">
        <f t="shared" si="170"/>
        <v>0</v>
      </c>
      <c r="AW270" s="469">
        <f t="shared" si="36"/>
        <v>0</v>
      </c>
      <c r="AX270" s="469">
        <f t="shared" si="36"/>
        <v>0</v>
      </c>
      <c r="AY270" s="469">
        <f t="shared" si="36"/>
        <v>0</v>
      </c>
      <c r="AZ270" s="469">
        <f t="shared" ref="AZ270:BB270" si="171">(IF($G34=AZ$257,$L$244,0))</f>
        <v>0</v>
      </c>
      <c r="BA270" s="469">
        <f t="shared" si="171"/>
        <v>0</v>
      </c>
      <c r="BB270" s="653">
        <f t="shared" si="171"/>
        <v>0</v>
      </c>
      <c r="BC270" s="653">
        <f t="shared" ref="BC270" si="172">(IF($G34=BC$257,$L$244,0))</f>
        <v>0</v>
      </c>
      <c r="BD270" s="469">
        <f t="shared" ref="BD270:BM270" si="173">(IF($G34=BD$257,$L$248,0))</f>
        <v>0</v>
      </c>
      <c r="BE270" s="469">
        <f t="shared" si="173"/>
        <v>0</v>
      </c>
      <c r="BF270" s="469">
        <f t="shared" si="173"/>
        <v>0</v>
      </c>
      <c r="BG270" s="469">
        <f t="shared" si="173"/>
        <v>0</v>
      </c>
      <c r="BH270" s="469">
        <f t="shared" si="173"/>
        <v>0</v>
      </c>
      <c r="BI270" s="469">
        <f t="shared" si="173"/>
        <v>0</v>
      </c>
      <c r="BJ270" s="469">
        <f t="shared" si="173"/>
        <v>0</v>
      </c>
      <c r="BK270" s="469">
        <f t="shared" si="173"/>
        <v>0</v>
      </c>
      <c r="BL270" s="469">
        <f t="shared" si="173"/>
        <v>0</v>
      </c>
      <c r="BM270" s="469">
        <f t="shared" si="173"/>
        <v>0</v>
      </c>
      <c r="BN270" s="470"/>
      <c r="BO270" s="470"/>
      <c r="BP270" s="469">
        <f t="shared" ref="BP270:BX270" si="174">(IF($G34=BP$257,$L$245,0))</f>
        <v>0</v>
      </c>
      <c r="BQ270" s="469">
        <f t="shared" si="174"/>
        <v>0</v>
      </c>
      <c r="BR270" s="469">
        <f t="shared" si="174"/>
        <v>0</v>
      </c>
      <c r="BS270" s="469">
        <f t="shared" si="174"/>
        <v>0</v>
      </c>
      <c r="BT270" s="469">
        <f t="shared" si="174"/>
        <v>0</v>
      </c>
      <c r="BU270" s="469">
        <f t="shared" si="174"/>
        <v>0</v>
      </c>
      <c r="BV270" s="469">
        <f t="shared" si="174"/>
        <v>0</v>
      </c>
      <c r="BW270" s="469">
        <f t="shared" si="174"/>
        <v>0</v>
      </c>
      <c r="BX270" s="469">
        <f t="shared" si="174"/>
        <v>0</v>
      </c>
      <c r="BY270" s="469">
        <f t="shared" ref="BY270:CJ270" si="175">(IF($G34=BY$257,$L$245,0))</f>
        <v>0</v>
      </c>
      <c r="BZ270" s="469">
        <f t="shared" si="175"/>
        <v>0</v>
      </c>
      <c r="CA270" s="469">
        <f t="shared" si="175"/>
        <v>0</v>
      </c>
      <c r="CB270" s="469">
        <f t="shared" si="175"/>
        <v>0</v>
      </c>
      <c r="CC270" s="469">
        <f t="shared" si="175"/>
        <v>0</v>
      </c>
      <c r="CD270" s="469">
        <f t="shared" si="175"/>
        <v>0</v>
      </c>
      <c r="CE270" s="469">
        <f t="shared" si="175"/>
        <v>0</v>
      </c>
      <c r="CF270" s="469">
        <f t="shared" si="175"/>
        <v>0</v>
      </c>
      <c r="CG270" s="469">
        <f t="shared" si="175"/>
        <v>0</v>
      </c>
      <c r="CH270" s="469">
        <f t="shared" si="175"/>
        <v>0</v>
      </c>
      <c r="CI270" s="469">
        <f t="shared" si="175"/>
        <v>0</v>
      </c>
      <c r="CJ270" s="469">
        <f t="shared" si="175"/>
        <v>0</v>
      </c>
      <c r="CK270" s="469">
        <f t="shared" ref="CK270" si="176">(IF($G34=CK$257,$L$245,0))</f>
        <v>0</v>
      </c>
      <c r="CL270" s="469"/>
      <c r="CM270" s="471"/>
      <c r="CN270" s="469">
        <f t="shared" si="42"/>
        <v>0</v>
      </c>
      <c r="CO270" s="469">
        <f t="shared" si="42"/>
        <v>0</v>
      </c>
      <c r="CP270" s="469">
        <f t="shared" si="42"/>
        <v>0</v>
      </c>
      <c r="CQ270" s="471"/>
      <c r="CR270" s="471"/>
      <c r="CS270" s="469">
        <f t="shared" ref="CS270:CY270" si="177">(IF($G34=CS$257,$L$250,0))</f>
        <v>0</v>
      </c>
      <c r="CT270" s="469">
        <f t="shared" si="177"/>
        <v>0</v>
      </c>
      <c r="CU270" s="469">
        <f t="shared" si="177"/>
        <v>0</v>
      </c>
      <c r="CV270" s="469">
        <f t="shared" si="177"/>
        <v>0</v>
      </c>
      <c r="CW270" s="469">
        <f t="shared" si="177"/>
        <v>0</v>
      </c>
      <c r="CX270" s="469">
        <f t="shared" si="177"/>
        <v>0</v>
      </c>
      <c r="CY270" s="469">
        <f t="shared" si="177"/>
        <v>0</v>
      </c>
      <c r="CZ270" s="471"/>
      <c r="DA270" s="471"/>
      <c r="DB270" s="469">
        <f t="shared" ref="DB270:DL270" si="178">(IF($G34=DB$257,$L$246,0))</f>
        <v>0</v>
      </c>
      <c r="DC270" s="469">
        <f t="shared" si="178"/>
        <v>0</v>
      </c>
      <c r="DD270" s="469">
        <f t="shared" si="178"/>
        <v>0</v>
      </c>
      <c r="DE270" s="469">
        <f t="shared" si="178"/>
        <v>0</v>
      </c>
      <c r="DF270" s="469">
        <f t="shared" si="178"/>
        <v>0</v>
      </c>
      <c r="DG270" s="469">
        <f t="shared" si="178"/>
        <v>0</v>
      </c>
      <c r="DH270" s="469">
        <f t="shared" si="178"/>
        <v>0</v>
      </c>
      <c r="DI270" s="469">
        <f t="shared" si="178"/>
        <v>0</v>
      </c>
      <c r="DJ270" s="469">
        <f t="shared" si="178"/>
        <v>0</v>
      </c>
      <c r="DK270" s="469">
        <f t="shared" si="178"/>
        <v>0</v>
      </c>
      <c r="DL270" s="469">
        <f t="shared" si="178"/>
        <v>0</v>
      </c>
      <c r="DM270" s="469">
        <f t="shared" ref="DM270:DT270" si="179">(IF($G34=DM$257,$L$246,0))</f>
        <v>0</v>
      </c>
      <c r="DN270" s="469">
        <f t="shared" si="179"/>
        <v>0</v>
      </c>
      <c r="DO270" s="469">
        <f t="shared" si="179"/>
        <v>0</v>
      </c>
      <c r="DP270" s="469">
        <f t="shared" si="179"/>
        <v>0</v>
      </c>
      <c r="DQ270" s="469">
        <f t="shared" si="179"/>
        <v>0</v>
      </c>
      <c r="DR270" s="469">
        <f t="shared" si="179"/>
        <v>0</v>
      </c>
      <c r="DS270" s="469">
        <f t="shared" si="179"/>
        <v>0</v>
      </c>
      <c r="DT270" s="469">
        <f t="shared" si="179"/>
        <v>0</v>
      </c>
      <c r="DU270" s="469"/>
      <c r="DV270" s="469"/>
      <c r="DW270" s="471"/>
      <c r="DX270" s="471"/>
      <c r="DY270" s="474">
        <f t="shared" si="66"/>
        <v>0</v>
      </c>
      <c r="EA270" s="477">
        <f t="shared" si="67"/>
        <v>0</v>
      </c>
      <c r="EG270" s="479">
        <f t="shared" si="46"/>
        <v>9.9999999999999995E-8</v>
      </c>
      <c r="EH270" s="480">
        <f t="shared" si="68"/>
        <v>1500</v>
      </c>
      <c r="EI270" s="480">
        <f t="shared" si="69"/>
        <v>0</v>
      </c>
      <c r="EJ270" s="480">
        <f t="shared" si="70"/>
        <v>0</v>
      </c>
      <c r="EK270" s="480">
        <f t="shared" si="71"/>
        <v>0</v>
      </c>
      <c r="EL270" s="480">
        <f t="shared" si="72"/>
        <v>1500</v>
      </c>
      <c r="EM270" s="480"/>
      <c r="EN270" s="480">
        <f t="shared" si="73"/>
        <v>1500</v>
      </c>
      <c r="EO270" s="655">
        <f t="shared" si="74"/>
        <v>0</v>
      </c>
      <c r="EP270" s="655">
        <f t="shared" si="75"/>
        <v>1500</v>
      </c>
      <c r="EQ270" s="481"/>
      <c r="ER270" s="655">
        <f t="shared" si="76"/>
        <v>1500</v>
      </c>
      <c r="ES270" s="656">
        <f t="shared" si="77"/>
        <v>1500</v>
      </c>
      <c r="ET270" s="656">
        <f t="shared" si="78"/>
        <v>0</v>
      </c>
      <c r="EU270" s="656">
        <f t="shared" si="79"/>
        <v>0</v>
      </c>
      <c r="EV270" s="656">
        <f t="shared" si="80"/>
        <v>1500</v>
      </c>
      <c r="EW270" s="483">
        <f t="shared" si="81"/>
        <v>1500</v>
      </c>
      <c r="EX270" s="398">
        <f t="shared" si="82"/>
        <v>0</v>
      </c>
      <c r="EY270" s="285" t="str">
        <f t="shared" si="47"/>
        <v>X</v>
      </c>
      <c r="EZ270" s="245">
        <f t="shared" si="83"/>
        <v>0</v>
      </c>
      <c r="FA270" s="245">
        <f t="shared" si="84"/>
        <v>0</v>
      </c>
    </row>
    <row r="271" spans="1:157" ht="15" customHeight="1">
      <c r="A271" s="244">
        <f t="shared" si="48"/>
        <v>-0.05</v>
      </c>
      <c r="B271" s="282">
        <v>12</v>
      </c>
      <c r="C271" s="441">
        <f t="shared" si="26"/>
        <v>0</v>
      </c>
      <c r="D271" s="245">
        <f t="shared" si="27"/>
        <v>0</v>
      </c>
      <c r="E271" s="444">
        <f t="shared" si="85"/>
        <v>0</v>
      </c>
      <c r="F271" s="442">
        <f>(PROPOSITION!AA32)+A271</f>
        <v>-0.05</v>
      </c>
      <c r="G271" s="442">
        <f t="shared" si="28"/>
        <v>0</v>
      </c>
      <c r="H271" s="445">
        <f t="shared" si="86"/>
        <v>0</v>
      </c>
      <c r="I271" s="444">
        <f t="shared" si="86"/>
        <v>-0.1</v>
      </c>
      <c r="J271" s="444">
        <f t="shared" si="29"/>
        <v>0</v>
      </c>
      <c r="K271" s="442">
        <f>IF(PROPOSITION!S32="N",-0.2,0)</f>
        <v>0</v>
      </c>
      <c r="L271" s="442">
        <f t="shared" si="87"/>
        <v>0</v>
      </c>
      <c r="N271" s="442">
        <f t="shared" si="88"/>
        <v>0</v>
      </c>
      <c r="O271" s="645">
        <f t="shared" si="49"/>
        <v>0</v>
      </c>
      <c r="P271" s="645">
        <f t="shared" si="50"/>
        <v>0</v>
      </c>
      <c r="Q271" s="442">
        <f t="shared" si="30"/>
        <v>0</v>
      </c>
      <c r="R271" s="444">
        <f t="shared" si="31"/>
        <v>0.2</v>
      </c>
      <c r="S271" s="444">
        <f t="shared" si="89"/>
        <v>0</v>
      </c>
      <c r="T271" s="399">
        <f t="shared" si="32"/>
        <v>0</v>
      </c>
      <c r="U271" s="513">
        <f t="shared" si="51"/>
        <v>0</v>
      </c>
      <c r="V271" s="282"/>
      <c r="W271" s="476">
        <f t="shared" si="52"/>
        <v>4.9999999999999989E-2</v>
      </c>
      <c r="Y271" s="475">
        <f t="shared" si="53"/>
        <v>4.9999999999999989E-2</v>
      </c>
      <c r="Z271" s="475">
        <f t="shared" si="33"/>
        <v>0</v>
      </c>
      <c r="AA271" s="395">
        <v>0</v>
      </c>
      <c r="AB271" s="629">
        <f t="shared" si="54"/>
        <v>0</v>
      </c>
      <c r="AC271" s="612">
        <f>PROPOSITION!Y32</f>
        <v>0</v>
      </c>
      <c r="AD271" s="396">
        <f t="shared" si="55"/>
        <v>0</v>
      </c>
      <c r="AE271" s="396"/>
      <c r="AF271" s="396"/>
      <c r="AH271" s="469">
        <f t="shared" si="34"/>
        <v>0</v>
      </c>
      <c r="AI271" s="469">
        <f t="shared" si="34"/>
        <v>0</v>
      </c>
      <c r="AJ271" s="469">
        <f t="shared" si="34"/>
        <v>0</v>
      </c>
      <c r="AK271" s="469">
        <f t="shared" si="34"/>
        <v>0</v>
      </c>
      <c r="AL271" s="469"/>
      <c r="AM271" s="469"/>
      <c r="AN271" s="469"/>
      <c r="AO271" s="469">
        <f t="shared" ref="AO271:AV271" si="180">(IF($G35=AO$257,$L$244,0))</f>
        <v>0</v>
      </c>
      <c r="AP271" s="469">
        <f t="shared" si="180"/>
        <v>0</v>
      </c>
      <c r="AQ271" s="469">
        <f t="shared" si="180"/>
        <v>0</v>
      </c>
      <c r="AR271" s="469">
        <f t="shared" si="180"/>
        <v>0</v>
      </c>
      <c r="AS271" s="469">
        <f t="shared" si="180"/>
        <v>0</v>
      </c>
      <c r="AT271" s="469">
        <f t="shared" si="180"/>
        <v>0</v>
      </c>
      <c r="AU271" s="469">
        <f t="shared" si="180"/>
        <v>0</v>
      </c>
      <c r="AV271" s="469">
        <f t="shared" si="180"/>
        <v>0</v>
      </c>
      <c r="AW271" s="469">
        <f t="shared" si="36"/>
        <v>0</v>
      </c>
      <c r="AX271" s="469">
        <f t="shared" si="36"/>
        <v>0</v>
      </c>
      <c r="AY271" s="469">
        <f t="shared" si="36"/>
        <v>0</v>
      </c>
      <c r="AZ271" s="469">
        <f t="shared" ref="AZ271:BB271" si="181">(IF($G35=AZ$257,$L$244,0))</f>
        <v>0</v>
      </c>
      <c r="BA271" s="469">
        <f t="shared" si="181"/>
        <v>0</v>
      </c>
      <c r="BB271" s="653">
        <f t="shared" si="181"/>
        <v>0</v>
      </c>
      <c r="BC271" s="653">
        <f t="shared" ref="BC271" si="182">(IF($G35=BC$257,$L$244,0))</f>
        <v>0</v>
      </c>
      <c r="BD271" s="469">
        <f t="shared" ref="BD271:BM271" si="183">(IF($G35=BD$257,$L$248,0))</f>
        <v>0</v>
      </c>
      <c r="BE271" s="469">
        <f t="shared" si="183"/>
        <v>0</v>
      </c>
      <c r="BF271" s="469">
        <f t="shared" si="183"/>
        <v>0</v>
      </c>
      <c r="BG271" s="469">
        <f t="shared" si="183"/>
        <v>0</v>
      </c>
      <c r="BH271" s="469">
        <f t="shared" si="183"/>
        <v>0</v>
      </c>
      <c r="BI271" s="469">
        <f t="shared" si="183"/>
        <v>0</v>
      </c>
      <c r="BJ271" s="469">
        <f t="shared" si="183"/>
        <v>0</v>
      </c>
      <c r="BK271" s="469">
        <f t="shared" si="183"/>
        <v>0</v>
      </c>
      <c r="BL271" s="469">
        <f t="shared" si="183"/>
        <v>0</v>
      </c>
      <c r="BM271" s="469">
        <f t="shared" si="183"/>
        <v>0</v>
      </c>
      <c r="BN271" s="470"/>
      <c r="BO271" s="470"/>
      <c r="BP271" s="469">
        <f t="shared" ref="BP271:BX271" si="184">(IF($G35=BP$257,$L$245,0))</f>
        <v>0</v>
      </c>
      <c r="BQ271" s="469">
        <f t="shared" si="184"/>
        <v>0</v>
      </c>
      <c r="BR271" s="469">
        <f t="shared" si="184"/>
        <v>0</v>
      </c>
      <c r="BS271" s="469">
        <f t="shared" si="184"/>
        <v>0</v>
      </c>
      <c r="BT271" s="469">
        <f t="shared" si="184"/>
        <v>0</v>
      </c>
      <c r="BU271" s="469">
        <f t="shared" si="184"/>
        <v>0</v>
      </c>
      <c r="BV271" s="469">
        <f t="shared" si="184"/>
        <v>0</v>
      </c>
      <c r="BW271" s="469">
        <f t="shared" si="184"/>
        <v>0</v>
      </c>
      <c r="BX271" s="469">
        <f t="shared" si="184"/>
        <v>0</v>
      </c>
      <c r="BY271" s="469">
        <f t="shared" ref="BY271:CJ271" si="185">(IF($G35=BY$257,$L$245,0))</f>
        <v>0</v>
      </c>
      <c r="BZ271" s="469">
        <f t="shared" si="185"/>
        <v>0</v>
      </c>
      <c r="CA271" s="469">
        <f t="shared" si="185"/>
        <v>0</v>
      </c>
      <c r="CB271" s="469">
        <f t="shared" si="185"/>
        <v>0</v>
      </c>
      <c r="CC271" s="469">
        <f t="shared" si="185"/>
        <v>0</v>
      </c>
      <c r="CD271" s="469">
        <f t="shared" si="185"/>
        <v>0</v>
      </c>
      <c r="CE271" s="469">
        <f t="shared" si="185"/>
        <v>0</v>
      </c>
      <c r="CF271" s="469">
        <f t="shared" si="185"/>
        <v>0</v>
      </c>
      <c r="CG271" s="469">
        <f t="shared" si="185"/>
        <v>0</v>
      </c>
      <c r="CH271" s="469">
        <f t="shared" si="185"/>
        <v>0</v>
      </c>
      <c r="CI271" s="469">
        <f t="shared" si="185"/>
        <v>0</v>
      </c>
      <c r="CJ271" s="469">
        <f t="shared" si="185"/>
        <v>0</v>
      </c>
      <c r="CK271" s="469">
        <f t="shared" ref="CK271" si="186">(IF($G35=CK$257,$L$245,0))</f>
        <v>0</v>
      </c>
      <c r="CL271" s="469"/>
      <c r="CM271" s="471"/>
      <c r="CN271" s="469">
        <f t="shared" si="42"/>
        <v>0</v>
      </c>
      <c r="CO271" s="469">
        <f t="shared" si="42"/>
        <v>0</v>
      </c>
      <c r="CP271" s="469">
        <f t="shared" si="42"/>
        <v>0</v>
      </c>
      <c r="CQ271" s="471"/>
      <c r="CR271" s="471"/>
      <c r="CS271" s="469">
        <f t="shared" ref="CS271:CY271" si="187">(IF($G35=CS$257,$L$250,0))</f>
        <v>0</v>
      </c>
      <c r="CT271" s="469">
        <f t="shared" si="187"/>
        <v>0</v>
      </c>
      <c r="CU271" s="469">
        <f t="shared" si="187"/>
        <v>0</v>
      </c>
      <c r="CV271" s="469">
        <f t="shared" si="187"/>
        <v>0</v>
      </c>
      <c r="CW271" s="469">
        <f t="shared" si="187"/>
        <v>0</v>
      </c>
      <c r="CX271" s="469">
        <f t="shared" si="187"/>
        <v>0</v>
      </c>
      <c r="CY271" s="469">
        <f t="shared" si="187"/>
        <v>0</v>
      </c>
      <c r="CZ271" s="471"/>
      <c r="DA271" s="471"/>
      <c r="DB271" s="469">
        <f t="shared" ref="DB271:DL271" si="188">(IF($G35=DB$257,$L$246,0))</f>
        <v>0</v>
      </c>
      <c r="DC271" s="469">
        <f t="shared" si="188"/>
        <v>0</v>
      </c>
      <c r="DD271" s="469">
        <f t="shared" si="188"/>
        <v>0</v>
      </c>
      <c r="DE271" s="469">
        <f t="shared" si="188"/>
        <v>0</v>
      </c>
      <c r="DF271" s="469">
        <f t="shared" si="188"/>
        <v>0</v>
      </c>
      <c r="DG271" s="469">
        <f t="shared" si="188"/>
        <v>0</v>
      </c>
      <c r="DH271" s="469">
        <f t="shared" si="188"/>
        <v>0</v>
      </c>
      <c r="DI271" s="469">
        <f t="shared" si="188"/>
        <v>0</v>
      </c>
      <c r="DJ271" s="469">
        <f t="shared" si="188"/>
        <v>0</v>
      </c>
      <c r="DK271" s="469">
        <f t="shared" si="188"/>
        <v>0</v>
      </c>
      <c r="DL271" s="469">
        <f t="shared" si="188"/>
        <v>0</v>
      </c>
      <c r="DM271" s="469">
        <f t="shared" ref="DM271:DT271" si="189">(IF($G35=DM$257,$L$246,0))</f>
        <v>0</v>
      </c>
      <c r="DN271" s="469">
        <f t="shared" si="189"/>
        <v>0</v>
      </c>
      <c r="DO271" s="469">
        <f t="shared" si="189"/>
        <v>0</v>
      </c>
      <c r="DP271" s="469">
        <f t="shared" si="189"/>
        <v>0</v>
      </c>
      <c r="DQ271" s="469">
        <f t="shared" si="189"/>
        <v>0</v>
      </c>
      <c r="DR271" s="469">
        <f t="shared" si="189"/>
        <v>0</v>
      </c>
      <c r="DS271" s="469">
        <f t="shared" si="189"/>
        <v>0</v>
      </c>
      <c r="DT271" s="469">
        <f t="shared" si="189"/>
        <v>0</v>
      </c>
      <c r="DU271" s="469"/>
      <c r="DV271" s="469"/>
      <c r="DW271" s="471"/>
      <c r="DX271" s="471"/>
      <c r="DY271" s="474">
        <f t="shared" si="66"/>
        <v>0</v>
      </c>
      <c r="EA271" s="477">
        <f t="shared" si="67"/>
        <v>0</v>
      </c>
      <c r="EG271" s="479">
        <f t="shared" si="46"/>
        <v>9.9999999999999995E-8</v>
      </c>
      <c r="EH271" s="480">
        <f t="shared" si="68"/>
        <v>1500</v>
      </c>
      <c r="EI271" s="480">
        <f t="shared" si="69"/>
        <v>0</v>
      </c>
      <c r="EJ271" s="480">
        <f t="shared" si="70"/>
        <v>0</v>
      </c>
      <c r="EK271" s="480">
        <f t="shared" si="71"/>
        <v>0</v>
      </c>
      <c r="EL271" s="480">
        <f t="shared" si="72"/>
        <v>1500</v>
      </c>
      <c r="EM271" s="480"/>
      <c r="EN271" s="480">
        <f t="shared" si="73"/>
        <v>1500</v>
      </c>
      <c r="EO271" s="655">
        <f t="shared" si="74"/>
        <v>0</v>
      </c>
      <c r="EP271" s="655">
        <f t="shared" si="75"/>
        <v>1500</v>
      </c>
      <c r="EQ271" s="481"/>
      <c r="ER271" s="655">
        <f t="shared" si="76"/>
        <v>1500</v>
      </c>
      <c r="ES271" s="656">
        <f t="shared" si="77"/>
        <v>1500</v>
      </c>
      <c r="ET271" s="656">
        <f t="shared" si="78"/>
        <v>0</v>
      </c>
      <c r="EU271" s="656">
        <f t="shared" si="79"/>
        <v>0</v>
      </c>
      <c r="EV271" s="656">
        <f t="shared" si="80"/>
        <v>1500</v>
      </c>
      <c r="EW271" s="483">
        <f t="shared" si="81"/>
        <v>1500</v>
      </c>
      <c r="EX271" s="398">
        <f t="shared" si="82"/>
        <v>0</v>
      </c>
      <c r="EY271" s="285" t="str">
        <f t="shared" si="47"/>
        <v>X</v>
      </c>
      <c r="EZ271" s="245">
        <f t="shared" si="83"/>
        <v>0</v>
      </c>
      <c r="FA271" s="245">
        <f t="shared" si="84"/>
        <v>0</v>
      </c>
    </row>
    <row r="272" spans="1:157" ht="15" customHeight="1">
      <c r="A272" s="244">
        <f t="shared" si="48"/>
        <v>-0.05</v>
      </c>
      <c r="B272" s="282">
        <v>13</v>
      </c>
      <c r="C272" s="441">
        <f t="shared" si="26"/>
        <v>0</v>
      </c>
      <c r="D272" s="245">
        <f t="shared" si="27"/>
        <v>0</v>
      </c>
      <c r="E272" s="444">
        <f t="shared" si="85"/>
        <v>0</v>
      </c>
      <c r="F272" s="442">
        <f>(PROPOSITION!AA33)+A272</f>
        <v>-0.05</v>
      </c>
      <c r="G272" s="442">
        <f t="shared" si="28"/>
        <v>0</v>
      </c>
      <c r="H272" s="445">
        <f t="shared" si="86"/>
        <v>0</v>
      </c>
      <c r="I272" s="444">
        <f t="shared" si="86"/>
        <v>-0.1</v>
      </c>
      <c r="J272" s="444">
        <f t="shared" si="29"/>
        <v>0</v>
      </c>
      <c r="K272" s="442">
        <f>IF(PROPOSITION!S33="N",-0.2,0)</f>
        <v>0</v>
      </c>
      <c r="L272" s="442">
        <f t="shared" si="87"/>
        <v>0</v>
      </c>
      <c r="N272" s="442">
        <f t="shared" si="88"/>
        <v>0</v>
      </c>
      <c r="O272" s="645">
        <f t="shared" si="49"/>
        <v>0</v>
      </c>
      <c r="P272" s="645">
        <f t="shared" si="50"/>
        <v>0</v>
      </c>
      <c r="Q272" s="442">
        <f t="shared" si="30"/>
        <v>0</v>
      </c>
      <c r="R272" s="444">
        <f t="shared" si="31"/>
        <v>0.2</v>
      </c>
      <c r="S272" s="444">
        <f t="shared" si="89"/>
        <v>0</v>
      </c>
      <c r="T272" s="399">
        <f t="shared" si="32"/>
        <v>0</v>
      </c>
      <c r="U272" s="513">
        <f t="shared" si="51"/>
        <v>0</v>
      </c>
      <c r="V272" s="282"/>
      <c r="W272" s="476">
        <f t="shared" si="52"/>
        <v>4.9999999999999989E-2</v>
      </c>
      <c r="Y272" s="475">
        <f t="shared" si="53"/>
        <v>4.9999999999999989E-2</v>
      </c>
      <c r="Z272" s="475">
        <f t="shared" si="33"/>
        <v>0</v>
      </c>
      <c r="AA272" s="395">
        <v>0</v>
      </c>
      <c r="AB272" s="629">
        <f t="shared" si="54"/>
        <v>0</v>
      </c>
      <c r="AC272" s="612">
        <f>PROPOSITION!Y33</f>
        <v>0</v>
      </c>
      <c r="AD272" s="396">
        <f t="shared" si="55"/>
        <v>0</v>
      </c>
      <c r="AE272" s="396"/>
      <c r="AF272" s="396"/>
      <c r="AH272" s="469">
        <f t="shared" si="34"/>
        <v>0</v>
      </c>
      <c r="AI272" s="469">
        <f t="shared" si="34"/>
        <v>0</v>
      </c>
      <c r="AJ272" s="469">
        <f t="shared" si="34"/>
        <v>0</v>
      </c>
      <c r="AK272" s="469">
        <f t="shared" si="34"/>
        <v>0</v>
      </c>
      <c r="AL272" s="469"/>
      <c r="AM272" s="469"/>
      <c r="AN272" s="469"/>
      <c r="AO272" s="469">
        <f t="shared" ref="AO272:AV272" si="190">(IF($G36=AO$257,$L$244,0))</f>
        <v>0</v>
      </c>
      <c r="AP272" s="469">
        <f t="shared" si="190"/>
        <v>0</v>
      </c>
      <c r="AQ272" s="469">
        <f t="shared" si="190"/>
        <v>0</v>
      </c>
      <c r="AR272" s="469">
        <f t="shared" si="190"/>
        <v>0</v>
      </c>
      <c r="AS272" s="469">
        <f t="shared" si="190"/>
        <v>0</v>
      </c>
      <c r="AT272" s="469">
        <f t="shared" si="190"/>
        <v>0</v>
      </c>
      <c r="AU272" s="469">
        <f t="shared" si="190"/>
        <v>0</v>
      </c>
      <c r="AV272" s="469">
        <f t="shared" si="190"/>
        <v>0</v>
      </c>
      <c r="AW272" s="469">
        <f t="shared" si="36"/>
        <v>0</v>
      </c>
      <c r="AX272" s="469">
        <f t="shared" si="36"/>
        <v>0</v>
      </c>
      <c r="AY272" s="469">
        <f t="shared" si="36"/>
        <v>0</v>
      </c>
      <c r="AZ272" s="469">
        <f t="shared" ref="AZ272:BB272" si="191">(IF($G36=AZ$257,$L$244,0))</f>
        <v>0</v>
      </c>
      <c r="BA272" s="469">
        <f t="shared" si="191"/>
        <v>0</v>
      </c>
      <c r="BB272" s="653">
        <f t="shared" si="191"/>
        <v>0</v>
      </c>
      <c r="BC272" s="653">
        <f t="shared" ref="BC272" si="192">(IF($G36=BC$257,$L$244,0))</f>
        <v>0</v>
      </c>
      <c r="BD272" s="469">
        <f t="shared" ref="BD272:BM272" si="193">(IF($G36=BD$257,$L$248,0))</f>
        <v>0</v>
      </c>
      <c r="BE272" s="469">
        <f t="shared" si="193"/>
        <v>0</v>
      </c>
      <c r="BF272" s="469">
        <f t="shared" si="193"/>
        <v>0</v>
      </c>
      <c r="BG272" s="469">
        <f t="shared" si="193"/>
        <v>0</v>
      </c>
      <c r="BH272" s="469">
        <f t="shared" si="193"/>
        <v>0</v>
      </c>
      <c r="BI272" s="469">
        <f t="shared" si="193"/>
        <v>0</v>
      </c>
      <c r="BJ272" s="469">
        <f t="shared" si="193"/>
        <v>0</v>
      </c>
      <c r="BK272" s="469">
        <f t="shared" si="193"/>
        <v>0</v>
      </c>
      <c r="BL272" s="469">
        <f t="shared" si="193"/>
        <v>0</v>
      </c>
      <c r="BM272" s="469">
        <f t="shared" si="193"/>
        <v>0</v>
      </c>
      <c r="BN272" s="470"/>
      <c r="BO272" s="470"/>
      <c r="BP272" s="469">
        <f t="shared" ref="BP272:BX272" si="194">(IF($G36=BP$257,$L$245,0))</f>
        <v>0</v>
      </c>
      <c r="BQ272" s="469">
        <f t="shared" si="194"/>
        <v>0</v>
      </c>
      <c r="BR272" s="469">
        <f t="shared" si="194"/>
        <v>0</v>
      </c>
      <c r="BS272" s="469">
        <f t="shared" si="194"/>
        <v>0</v>
      </c>
      <c r="BT272" s="469">
        <f t="shared" si="194"/>
        <v>0</v>
      </c>
      <c r="BU272" s="469">
        <f t="shared" si="194"/>
        <v>0</v>
      </c>
      <c r="BV272" s="469">
        <f t="shared" si="194"/>
        <v>0</v>
      </c>
      <c r="BW272" s="469">
        <f t="shared" si="194"/>
        <v>0</v>
      </c>
      <c r="BX272" s="469">
        <f t="shared" si="194"/>
        <v>0</v>
      </c>
      <c r="BY272" s="469">
        <f t="shared" ref="BY272:CJ272" si="195">(IF($G36=BY$257,$L$245,0))</f>
        <v>0</v>
      </c>
      <c r="BZ272" s="469">
        <f t="shared" si="195"/>
        <v>0</v>
      </c>
      <c r="CA272" s="469">
        <f t="shared" si="195"/>
        <v>0</v>
      </c>
      <c r="CB272" s="469">
        <f t="shared" si="195"/>
        <v>0</v>
      </c>
      <c r="CC272" s="469">
        <f t="shared" si="195"/>
        <v>0</v>
      </c>
      <c r="CD272" s="469">
        <f t="shared" si="195"/>
        <v>0</v>
      </c>
      <c r="CE272" s="469">
        <f t="shared" si="195"/>
        <v>0</v>
      </c>
      <c r="CF272" s="469">
        <f t="shared" si="195"/>
        <v>0</v>
      </c>
      <c r="CG272" s="469">
        <f t="shared" si="195"/>
        <v>0</v>
      </c>
      <c r="CH272" s="469">
        <f t="shared" si="195"/>
        <v>0</v>
      </c>
      <c r="CI272" s="469">
        <f t="shared" si="195"/>
        <v>0</v>
      </c>
      <c r="CJ272" s="469">
        <f t="shared" si="195"/>
        <v>0</v>
      </c>
      <c r="CK272" s="469">
        <f t="shared" ref="CK272" si="196">(IF($G36=CK$257,$L$245,0))</f>
        <v>0</v>
      </c>
      <c r="CL272" s="469"/>
      <c r="CM272" s="471"/>
      <c r="CN272" s="469">
        <f t="shared" si="42"/>
        <v>0</v>
      </c>
      <c r="CO272" s="469">
        <f t="shared" si="42"/>
        <v>0</v>
      </c>
      <c r="CP272" s="469">
        <f t="shared" si="42"/>
        <v>0</v>
      </c>
      <c r="CQ272" s="471"/>
      <c r="CR272" s="471"/>
      <c r="CS272" s="469">
        <f t="shared" ref="CS272:CY272" si="197">(IF($G36=CS$257,$L$250,0))</f>
        <v>0</v>
      </c>
      <c r="CT272" s="469">
        <f t="shared" si="197"/>
        <v>0</v>
      </c>
      <c r="CU272" s="469">
        <f t="shared" si="197"/>
        <v>0</v>
      </c>
      <c r="CV272" s="469">
        <f t="shared" si="197"/>
        <v>0</v>
      </c>
      <c r="CW272" s="469">
        <f t="shared" si="197"/>
        <v>0</v>
      </c>
      <c r="CX272" s="469">
        <f t="shared" si="197"/>
        <v>0</v>
      </c>
      <c r="CY272" s="469">
        <f t="shared" si="197"/>
        <v>0</v>
      </c>
      <c r="CZ272" s="471"/>
      <c r="DA272" s="471"/>
      <c r="DB272" s="469">
        <f t="shared" ref="DB272:DL272" si="198">(IF($G36=DB$257,$L$246,0))</f>
        <v>0</v>
      </c>
      <c r="DC272" s="469">
        <f t="shared" si="198"/>
        <v>0</v>
      </c>
      <c r="DD272" s="469">
        <f t="shared" si="198"/>
        <v>0</v>
      </c>
      <c r="DE272" s="469">
        <f t="shared" si="198"/>
        <v>0</v>
      </c>
      <c r="DF272" s="469">
        <f t="shared" si="198"/>
        <v>0</v>
      </c>
      <c r="DG272" s="469">
        <f t="shared" si="198"/>
        <v>0</v>
      </c>
      <c r="DH272" s="469">
        <f t="shared" si="198"/>
        <v>0</v>
      </c>
      <c r="DI272" s="469">
        <f t="shared" si="198"/>
        <v>0</v>
      </c>
      <c r="DJ272" s="469">
        <f t="shared" si="198"/>
        <v>0</v>
      </c>
      <c r="DK272" s="469">
        <f t="shared" si="198"/>
        <v>0</v>
      </c>
      <c r="DL272" s="469">
        <f t="shared" si="198"/>
        <v>0</v>
      </c>
      <c r="DM272" s="469">
        <f t="shared" ref="DM272:DT272" si="199">(IF($G36=DM$257,$L$246,0))</f>
        <v>0</v>
      </c>
      <c r="DN272" s="469">
        <f t="shared" si="199"/>
        <v>0</v>
      </c>
      <c r="DO272" s="469">
        <f t="shared" si="199"/>
        <v>0</v>
      </c>
      <c r="DP272" s="469">
        <f t="shared" si="199"/>
        <v>0</v>
      </c>
      <c r="DQ272" s="469">
        <f t="shared" si="199"/>
        <v>0</v>
      </c>
      <c r="DR272" s="469">
        <f t="shared" si="199"/>
        <v>0</v>
      </c>
      <c r="DS272" s="469">
        <f t="shared" si="199"/>
        <v>0</v>
      </c>
      <c r="DT272" s="469">
        <f t="shared" si="199"/>
        <v>0</v>
      </c>
      <c r="DU272" s="469"/>
      <c r="DV272" s="469"/>
      <c r="DW272" s="471"/>
      <c r="DX272" s="471"/>
      <c r="DY272" s="474">
        <f t="shared" si="66"/>
        <v>0</v>
      </c>
      <c r="EA272" s="477">
        <f t="shared" si="67"/>
        <v>0</v>
      </c>
      <c r="EG272" s="479">
        <f t="shared" si="46"/>
        <v>9.9999999999999995E-8</v>
      </c>
      <c r="EH272" s="480">
        <f t="shared" si="68"/>
        <v>1500</v>
      </c>
      <c r="EI272" s="480">
        <f t="shared" si="69"/>
        <v>0</v>
      </c>
      <c r="EJ272" s="480">
        <f t="shared" si="70"/>
        <v>0</v>
      </c>
      <c r="EK272" s="480">
        <f t="shared" si="71"/>
        <v>0</v>
      </c>
      <c r="EL272" s="480">
        <f t="shared" si="72"/>
        <v>1500</v>
      </c>
      <c r="EM272" s="480"/>
      <c r="EN272" s="480">
        <f t="shared" si="73"/>
        <v>1500</v>
      </c>
      <c r="EO272" s="655">
        <f t="shared" si="74"/>
        <v>0</v>
      </c>
      <c r="EP272" s="655">
        <f t="shared" si="75"/>
        <v>1500</v>
      </c>
      <c r="EQ272" s="481"/>
      <c r="ER272" s="655">
        <f t="shared" si="76"/>
        <v>1500</v>
      </c>
      <c r="ES272" s="656">
        <f t="shared" si="77"/>
        <v>1500</v>
      </c>
      <c r="ET272" s="656">
        <f t="shared" si="78"/>
        <v>0</v>
      </c>
      <c r="EU272" s="656">
        <f t="shared" si="79"/>
        <v>0</v>
      </c>
      <c r="EV272" s="656">
        <f t="shared" si="80"/>
        <v>1500</v>
      </c>
      <c r="EW272" s="483">
        <f t="shared" si="81"/>
        <v>1500</v>
      </c>
      <c r="EX272" s="398">
        <f t="shared" si="82"/>
        <v>0</v>
      </c>
      <c r="EY272" s="285" t="str">
        <f t="shared" si="47"/>
        <v>X</v>
      </c>
      <c r="EZ272" s="245">
        <f t="shared" si="83"/>
        <v>0</v>
      </c>
      <c r="FA272" s="245">
        <f t="shared" si="84"/>
        <v>0</v>
      </c>
    </row>
    <row r="273" spans="1:157" ht="15" customHeight="1">
      <c r="A273" s="244">
        <f t="shared" si="48"/>
        <v>-0.05</v>
      </c>
      <c r="B273" s="282">
        <v>14</v>
      </c>
      <c r="C273" s="441">
        <f t="shared" si="26"/>
        <v>0</v>
      </c>
      <c r="D273" s="245">
        <f t="shared" si="27"/>
        <v>0</v>
      </c>
      <c r="E273" s="444">
        <f t="shared" si="85"/>
        <v>0</v>
      </c>
      <c r="F273" s="442">
        <f>(PROPOSITION!AA34)+A273</f>
        <v>-0.05</v>
      </c>
      <c r="G273" s="442">
        <f t="shared" si="28"/>
        <v>0</v>
      </c>
      <c r="H273" s="445">
        <f t="shared" si="86"/>
        <v>0</v>
      </c>
      <c r="I273" s="444">
        <f t="shared" si="86"/>
        <v>-0.1</v>
      </c>
      <c r="J273" s="444">
        <f t="shared" si="29"/>
        <v>0</v>
      </c>
      <c r="K273" s="442">
        <f>IF(PROPOSITION!S34="N",-0.2,0)</f>
        <v>0</v>
      </c>
      <c r="L273" s="442">
        <f t="shared" si="87"/>
        <v>0</v>
      </c>
      <c r="N273" s="442">
        <f t="shared" si="88"/>
        <v>0</v>
      </c>
      <c r="O273" s="645">
        <f t="shared" si="49"/>
        <v>0</v>
      </c>
      <c r="P273" s="645">
        <f t="shared" si="50"/>
        <v>0</v>
      </c>
      <c r="Q273" s="442">
        <f t="shared" si="30"/>
        <v>0</v>
      </c>
      <c r="R273" s="444">
        <f t="shared" si="31"/>
        <v>0.2</v>
      </c>
      <c r="S273" s="444">
        <f t="shared" si="89"/>
        <v>0</v>
      </c>
      <c r="T273" s="399">
        <f t="shared" si="32"/>
        <v>0</v>
      </c>
      <c r="U273" s="513">
        <f t="shared" si="51"/>
        <v>0</v>
      </c>
      <c r="V273" s="282"/>
      <c r="W273" s="476">
        <f t="shared" si="52"/>
        <v>4.9999999999999989E-2</v>
      </c>
      <c r="Y273" s="475">
        <f t="shared" si="53"/>
        <v>4.9999999999999989E-2</v>
      </c>
      <c r="Z273" s="475">
        <f t="shared" si="33"/>
        <v>0</v>
      </c>
      <c r="AA273" s="395">
        <v>0</v>
      </c>
      <c r="AB273" s="629">
        <f t="shared" si="54"/>
        <v>0</v>
      </c>
      <c r="AC273" s="612">
        <f>PROPOSITION!Y34</f>
        <v>0</v>
      </c>
      <c r="AD273" s="396">
        <f t="shared" si="55"/>
        <v>0</v>
      </c>
      <c r="AE273" s="396"/>
      <c r="AF273" s="396"/>
      <c r="AH273" s="469">
        <f t="shared" si="34"/>
        <v>0</v>
      </c>
      <c r="AI273" s="469">
        <f t="shared" si="34"/>
        <v>0</v>
      </c>
      <c r="AJ273" s="469">
        <f t="shared" si="34"/>
        <v>0</v>
      </c>
      <c r="AK273" s="469">
        <f t="shared" si="34"/>
        <v>0</v>
      </c>
      <c r="AL273" s="469"/>
      <c r="AM273" s="469"/>
      <c r="AN273" s="469"/>
      <c r="AO273" s="469">
        <f t="shared" ref="AO273:AV273" si="200">(IF($G37=AO$257,$L$244,0))</f>
        <v>0</v>
      </c>
      <c r="AP273" s="469">
        <f t="shared" si="200"/>
        <v>0</v>
      </c>
      <c r="AQ273" s="469">
        <f t="shared" si="200"/>
        <v>0</v>
      </c>
      <c r="AR273" s="469">
        <f t="shared" si="200"/>
        <v>0</v>
      </c>
      <c r="AS273" s="469">
        <f t="shared" si="200"/>
        <v>0</v>
      </c>
      <c r="AT273" s="469">
        <f t="shared" si="200"/>
        <v>0</v>
      </c>
      <c r="AU273" s="469">
        <f t="shared" si="200"/>
        <v>0</v>
      </c>
      <c r="AV273" s="469">
        <f t="shared" si="200"/>
        <v>0</v>
      </c>
      <c r="AW273" s="469">
        <f t="shared" si="36"/>
        <v>0</v>
      </c>
      <c r="AX273" s="469">
        <f t="shared" si="36"/>
        <v>0</v>
      </c>
      <c r="AY273" s="469">
        <f t="shared" si="36"/>
        <v>0</v>
      </c>
      <c r="AZ273" s="469">
        <f t="shared" ref="AZ273:BB273" si="201">(IF($G37=AZ$257,$L$244,0))</f>
        <v>0</v>
      </c>
      <c r="BA273" s="469">
        <f t="shared" si="201"/>
        <v>0</v>
      </c>
      <c r="BB273" s="653">
        <f t="shared" si="201"/>
        <v>0</v>
      </c>
      <c r="BC273" s="653">
        <f t="shared" ref="BC273" si="202">(IF($G37=BC$257,$L$244,0))</f>
        <v>0</v>
      </c>
      <c r="BD273" s="469">
        <f t="shared" ref="BD273:BM273" si="203">(IF($G37=BD$257,$L$248,0))</f>
        <v>0</v>
      </c>
      <c r="BE273" s="469">
        <f t="shared" si="203"/>
        <v>0</v>
      </c>
      <c r="BF273" s="469">
        <f t="shared" si="203"/>
        <v>0</v>
      </c>
      <c r="BG273" s="469">
        <f t="shared" si="203"/>
        <v>0</v>
      </c>
      <c r="BH273" s="469">
        <f t="shared" si="203"/>
        <v>0</v>
      </c>
      <c r="BI273" s="469">
        <f t="shared" si="203"/>
        <v>0</v>
      </c>
      <c r="BJ273" s="469">
        <f t="shared" si="203"/>
        <v>0</v>
      </c>
      <c r="BK273" s="469">
        <f t="shared" si="203"/>
        <v>0</v>
      </c>
      <c r="BL273" s="469">
        <f t="shared" si="203"/>
        <v>0</v>
      </c>
      <c r="BM273" s="469">
        <f t="shared" si="203"/>
        <v>0</v>
      </c>
      <c r="BN273" s="470"/>
      <c r="BO273" s="470"/>
      <c r="BP273" s="469">
        <f t="shared" ref="BP273:BX273" si="204">(IF($G37=BP$257,$L$245,0))</f>
        <v>0</v>
      </c>
      <c r="BQ273" s="469">
        <f t="shared" si="204"/>
        <v>0</v>
      </c>
      <c r="BR273" s="469">
        <f t="shared" si="204"/>
        <v>0</v>
      </c>
      <c r="BS273" s="469">
        <f t="shared" si="204"/>
        <v>0</v>
      </c>
      <c r="BT273" s="469">
        <f t="shared" si="204"/>
        <v>0</v>
      </c>
      <c r="BU273" s="469">
        <f t="shared" si="204"/>
        <v>0</v>
      </c>
      <c r="BV273" s="469">
        <f t="shared" si="204"/>
        <v>0</v>
      </c>
      <c r="BW273" s="469">
        <f t="shared" si="204"/>
        <v>0</v>
      </c>
      <c r="BX273" s="469">
        <f t="shared" si="204"/>
        <v>0</v>
      </c>
      <c r="BY273" s="469">
        <f t="shared" ref="BY273:CJ273" si="205">(IF($G37=BY$257,$L$245,0))</f>
        <v>0</v>
      </c>
      <c r="BZ273" s="469">
        <f t="shared" si="205"/>
        <v>0</v>
      </c>
      <c r="CA273" s="469">
        <f t="shared" si="205"/>
        <v>0</v>
      </c>
      <c r="CB273" s="469">
        <f t="shared" si="205"/>
        <v>0</v>
      </c>
      <c r="CC273" s="469">
        <f t="shared" si="205"/>
        <v>0</v>
      </c>
      <c r="CD273" s="469">
        <f t="shared" si="205"/>
        <v>0</v>
      </c>
      <c r="CE273" s="469">
        <f t="shared" si="205"/>
        <v>0</v>
      </c>
      <c r="CF273" s="469">
        <f t="shared" si="205"/>
        <v>0</v>
      </c>
      <c r="CG273" s="469">
        <f t="shared" si="205"/>
        <v>0</v>
      </c>
      <c r="CH273" s="469">
        <f t="shared" si="205"/>
        <v>0</v>
      </c>
      <c r="CI273" s="469">
        <f t="shared" si="205"/>
        <v>0</v>
      </c>
      <c r="CJ273" s="469">
        <f t="shared" si="205"/>
        <v>0</v>
      </c>
      <c r="CK273" s="469">
        <f t="shared" ref="CK273" si="206">(IF($G37=CK$257,$L$245,0))</f>
        <v>0</v>
      </c>
      <c r="CL273" s="469"/>
      <c r="CM273" s="471"/>
      <c r="CN273" s="469">
        <f t="shared" si="42"/>
        <v>0</v>
      </c>
      <c r="CO273" s="469">
        <f t="shared" si="42"/>
        <v>0</v>
      </c>
      <c r="CP273" s="469">
        <f t="shared" si="42"/>
        <v>0</v>
      </c>
      <c r="CQ273" s="471"/>
      <c r="CR273" s="471"/>
      <c r="CS273" s="469">
        <f t="shared" ref="CS273:CY273" si="207">(IF($G37=CS$257,$L$250,0))</f>
        <v>0</v>
      </c>
      <c r="CT273" s="469">
        <f t="shared" si="207"/>
        <v>0</v>
      </c>
      <c r="CU273" s="469">
        <f t="shared" si="207"/>
        <v>0</v>
      </c>
      <c r="CV273" s="469">
        <f t="shared" si="207"/>
        <v>0</v>
      </c>
      <c r="CW273" s="469">
        <f t="shared" si="207"/>
        <v>0</v>
      </c>
      <c r="CX273" s="469">
        <f t="shared" si="207"/>
        <v>0</v>
      </c>
      <c r="CY273" s="469">
        <f t="shared" si="207"/>
        <v>0</v>
      </c>
      <c r="CZ273" s="471"/>
      <c r="DA273" s="471"/>
      <c r="DB273" s="469">
        <f t="shared" ref="DB273:DL273" si="208">(IF($G37=DB$257,$L$246,0))</f>
        <v>0</v>
      </c>
      <c r="DC273" s="469">
        <f t="shared" si="208"/>
        <v>0</v>
      </c>
      <c r="DD273" s="469">
        <f t="shared" si="208"/>
        <v>0</v>
      </c>
      <c r="DE273" s="469">
        <f t="shared" si="208"/>
        <v>0</v>
      </c>
      <c r="DF273" s="469">
        <f t="shared" si="208"/>
        <v>0</v>
      </c>
      <c r="DG273" s="469">
        <f t="shared" si="208"/>
        <v>0</v>
      </c>
      <c r="DH273" s="469">
        <f t="shared" si="208"/>
        <v>0</v>
      </c>
      <c r="DI273" s="469">
        <f t="shared" si="208"/>
        <v>0</v>
      </c>
      <c r="DJ273" s="469">
        <f t="shared" si="208"/>
        <v>0</v>
      </c>
      <c r="DK273" s="469">
        <f t="shared" si="208"/>
        <v>0</v>
      </c>
      <c r="DL273" s="469">
        <f t="shared" si="208"/>
        <v>0</v>
      </c>
      <c r="DM273" s="469">
        <f t="shared" ref="DM273:DT273" si="209">(IF($G37=DM$257,$L$246,0))</f>
        <v>0</v>
      </c>
      <c r="DN273" s="469">
        <f t="shared" si="209"/>
        <v>0</v>
      </c>
      <c r="DO273" s="469">
        <f t="shared" si="209"/>
        <v>0</v>
      </c>
      <c r="DP273" s="469">
        <f t="shared" si="209"/>
        <v>0</v>
      </c>
      <c r="DQ273" s="469">
        <f t="shared" si="209"/>
        <v>0</v>
      </c>
      <c r="DR273" s="469">
        <f t="shared" si="209"/>
        <v>0</v>
      </c>
      <c r="DS273" s="469">
        <f t="shared" si="209"/>
        <v>0</v>
      </c>
      <c r="DT273" s="469">
        <f t="shared" si="209"/>
        <v>0</v>
      </c>
      <c r="DU273" s="469"/>
      <c r="DV273" s="469"/>
      <c r="DW273" s="471"/>
      <c r="DX273" s="471"/>
      <c r="DY273" s="474">
        <f t="shared" si="66"/>
        <v>0</v>
      </c>
      <c r="EA273" s="477">
        <f t="shared" si="67"/>
        <v>0</v>
      </c>
      <c r="EG273" s="479">
        <f t="shared" si="46"/>
        <v>9.9999999999999995E-8</v>
      </c>
      <c r="EH273" s="480">
        <f t="shared" si="68"/>
        <v>1500</v>
      </c>
      <c r="EI273" s="480">
        <f t="shared" si="69"/>
        <v>0</v>
      </c>
      <c r="EJ273" s="480">
        <f t="shared" si="70"/>
        <v>0</v>
      </c>
      <c r="EK273" s="480">
        <f t="shared" si="71"/>
        <v>0</v>
      </c>
      <c r="EL273" s="480">
        <f t="shared" si="72"/>
        <v>1500</v>
      </c>
      <c r="EM273" s="480"/>
      <c r="EN273" s="480">
        <f t="shared" si="73"/>
        <v>1500</v>
      </c>
      <c r="EO273" s="655">
        <f t="shared" si="74"/>
        <v>0</v>
      </c>
      <c r="EP273" s="655">
        <f t="shared" si="75"/>
        <v>1500</v>
      </c>
      <c r="EQ273" s="481"/>
      <c r="ER273" s="655">
        <f t="shared" si="76"/>
        <v>1500</v>
      </c>
      <c r="ES273" s="656">
        <f t="shared" si="77"/>
        <v>1500</v>
      </c>
      <c r="ET273" s="656">
        <f t="shared" si="78"/>
        <v>0</v>
      </c>
      <c r="EU273" s="656">
        <f t="shared" si="79"/>
        <v>0</v>
      </c>
      <c r="EV273" s="656">
        <f t="shared" si="80"/>
        <v>1500</v>
      </c>
      <c r="EW273" s="483">
        <f t="shared" si="81"/>
        <v>1500</v>
      </c>
      <c r="EX273" s="398">
        <f t="shared" si="82"/>
        <v>0</v>
      </c>
      <c r="EY273" s="285" t="str">
        <f t="shared" si="47"/>
        <v>X</v>
      </c>
      <c r="EZ273" s="245">
        <f t="shared" si="83"/>
        <v>0</v>
      </c>
      <c r="FA273" s="245">
        <f t="shared" si="84"/>
        <v>0</v>
      </c>
    </row>
    <row r="274" spans="1:157" ht="15" customHeight="1">
      <c r="A274" s="244">
        <f t="shared" si="48"/>
        <v>-0.05</v>
      </c>
      <c r="B274" s="282">
        <v>15</v>
      </c>
      <c r="C274" s="441">
        <f t="shared" si="26"/>
        <v>0</v>
      </c>
      <c r="D274" s="245">
        <f t="shared" si="27"/>
        <v>0</v>
      </c>
      <c r="E274" s="444">
        <f t="shared" si="85"/>
        <v>0</v>
      </c>
      <c r="F274" s="442">
        <f>(PROPOSITION!AA35)+A274</f>
        <v>-0.05</v>
      </c>
      <c r="G274" s="442">
        <f t="shared" si="28"/>
        <v>0</v>
      </c>
      <c r="H274" s="445">
        <f t="shared" si="86"/>
        <v>0</v>
      </c>
      <c r="I274" s="444">
        <f t="shared" si="86"/>
        <v>-0.1</v>
      </c>
      <c r="J274" s="444">
        <f t="shared" si="29"/>
        <v>0</v>
      </c>
      <c r="K274" s="442">
        <f>IF(PROPOSITION!S35="N",-0.2,0)</f>
        <v>0</v>
      </c>
      <c r="L274" s="442">
        <f t="shared" si="87"/>
        <v>0</v>
      </c>
      <c r="N274" s="442">
        <f t="shared" si="88"/>
        <v>0</v>
      </c>
      <c r="O274" s="645">
        <f t="shared" si="49"/>
        <v>0</v>
      </c>
      <c r="P274" s="645">
        <f t="shared" si="50"/>
        <v>0</v>
      </c>
      <c r="Q274" s="442">
        <f t="shared" si="30"/>
        <v>0</v>
      </c>
      <c r="R274" s="444">
        <f t="shared" si="31"/>
        <v>0.2</v>
      </c>
      <c r="S274" s="444">
        <f t="shared" si="89"/>
        <v>0</v>
      </c>
      <c r="T274" s="399">
        <f t="shared" si="32"/>
        <v>0</v>
      </c>
      <c r="U274" s="513">
        <f t="shared" si="51"/>
        <v>0</v>
      </c>
      <c r="V274" s="282"/>
      <c r="W274" s="476">
        <f t="shared" si="52"/>
        <v>4.9999999999999989E-2</v>
      </c>
      <c r="Y274" s="475">
        <f t="shared" si="53"/>
        <v>4.9999999999999989E-2</v>
      </c>
      <c r="Z274" s="475">
        <f t="shared" si="33"/>
        <v>0</v>
      </c>
      <c r="AA274" s="395">
        <v>0</v>
      </c>
      <c r="AB274" s="629">
        <f t="shared" si="54"/>
        <v>0</v>
      </c>
      <c r="AC274" s="612">
        <f>PROPOSITION!Y35</f>
        <v>0</v>
      </c>
      <c r="AD274" s="396">
        <f t="shared" si="55"/>
        <v>0</v>
      </c>
      <c r="AE274" s="396"/>
      <c r="AF274" s="396"/>
      <c r="AH274" s="469">
        <f t="shared" si="34"/>
        <v>0</v>
      </c>
      <c r="AI274" s="469">
        <f t="shared" si="34"/>
        <v>0</v>
      </c>
      <c r="AJ274" s="469">
        <f t="shared" si="34"/>
        <v>0</v>
      </c>
      <c r="AK274" s="469">
        <f t="shared" si="34"/>
        <v>0</v>
      </c>
      <c r="AL274" s="469"/>
      <c r="AM274" s="469"/>
      <c r="AN274" s="469"/>
      <c r="AO274" s="469">
        <f t="shared" ref="AO274:AV274" si="210">(IF($G38=AO$257,$L$244,0))</f>
        <v>0</v>
      </c>
      <c r="AP274" s="469">
        <f t="shared" si="210"/>
        <v>0</v>
      </c>
      <c r="AQ274" s="469">
        <f t="shared" si="210"/>
        <v>0</v>
      </c>
      <c r="AR274" s="469">
        <f t="shared" si="210"/>
        <v>0</v>
      </c>
      <c r="AS274" s="469">
        <f t="shared" si="210"/>
        <v>0</v>
      </c>
      <c r="AT274" s="469">
        <f t="shared" si="210"/>
        <v>0</v>
      </c>
      <c r="AU274" s="469">
        <f t="shared" si="210"/>
        <v>0</v>
      </c>
      <c r="AV274" s="469">
        <f t="shared" si="210"/>
        <v>0</v>
      </c>
      <c r="AW274" s="469">
        <f t="shared" si="36"/>
        <v>0</v>
      </c>
      <c r="AX274" s="469">
        <f t="shared" si="36"/>
        <v>0</v>
      </c>
      <c r="AY274" s="469">
        <f t="shared" si="36"/>
        <v>0</v>
      </c>
      <c r="AZ274" s="469">
        <f t="shared" ref="AZ274:BB274" si="211">(IF($G38=AZ$257,$L$244,0))</f>
        <v>0</v>
      </c>
      <c r="BA274" s="469">
        <f t="shared" si="211"/>
        <v>0</v>
      </c>
      <c r="BB274" s="653">
        <f t="shared" si="211"/>
        <v>0</v>
      </c>
      <c r="BC274" s="653">
        <f t="shared" ref="BC274" si="212">(IF($G38=BC$257,$L$244,0))</f>
        <v>0</v>
      </c>
      <c r="BD274" s="469">
        <f t="shared" ref="BD274:BM274" si="213">(IF($G38=BD$257,$L$248,0))</f>
        <v>0</v>
      </c>
      <c r="BE274" s="469">
        <f t="shared" si="213"/>
        <v>0</v>
      </c>
      <c r="BF274" s="469">
        <f t="shared" si="213"/>
        <v>0</v>
      </c>
      <c r="BG274" s="469">
        <f t="shared" si="213"/>
        <v>0</v>
      </c>
      <c r="BH274" s="469">
        <f t="shared" si="213"/>
        <v>0</v>
      </c>
      <c r="BI274" s="469">
        <f t="shared" si="213"/>
        <v>0</v>
      </c>
      <c r="BJ274" s="469">
        <f t="shared" si="213"/>
        <v>0</v>
      </c>
      <c r="BK274" s="469">
        <f t="shared" si="213"/>
        <v>0</v>
      </c>
      <c r="BL274" s="469">
        <f t="shared" si="213"/>
        <v>0</v>
      </c>
      <c r="BM274" s="469">
        <f t="shared" si="213"/>
        <v>0</v>
      </c>
      <c r="BN274" s="470"/>
      <c r="BO274" s="470"/>
      <c r="BP274" s="469">
        <f t="shared" ref="BP274:BX274" si="214">(IF($G38=BP$257,$L$245,0))</f>
        <v>0</v>
      </c>
      <c r="BQ274" s="469">
        <f t="shared" si="214"/>
        <v>0</v>
      </c>
      <c r="BR274" s="469">
        <f t="shared" si="214"/>
        <v>0</v>
      </c>
      <c r="BS274" s="469">
        <f t="shared" si="214"/>
        <v>0</v>
      </c>
      <c r="BT274" s="469">
        <f t="shared" si="214"/>
        <v>0</v>
      </c>
      <c r="BU274" s="469">
        <f t="shared" si="214"/>
        <v>0</v>
      </c>
      <c r="BV274" s="469">
        <f t="shared" si="214"/>
        <v>0</v>
      </c>
      <c r="BW274" s="469">
        <f t="shared" si="214"/>
        <v>0</v>
      </c>
      <c r="BX274" s="469">
        <f t="shared" si="214"/>
        <v>0</v>
      </c>
      <c r="BY274" s="469">
        <f t="shared" ref="BY274:CJ274" si="215">(IF($G38=BY$257,$L$245,0))</f>
        <v>0</v>
      </c>
      <c r="BZ274" s="469">
        <f t="shared" si="215"/>
        <v>0</v>
      </c>
      <c r="CA274" s="469">
        <f t="shared" si="215"/>
        <v>0</v>
      </c>
      <c r="CB274" s="469">
        <f t="shared" si="215"/>
        <v>0</v>
      </c>
      <c r="CC274" s="469">
        <f t="shared" si="215"/>
        <v>0</v>
      </c>
      <c r="CD274" s="469">
        <f t="shared" si="215"/>
        <v>0</v>
      </c>
      <c r="CE274" s="469">
        <f t="shared" si="215"/>
        <v>0</v>
      </c>
      <c r="CF274" s="469">
        <f t="shared" si="215"/>
        <v>0</v>
      </c>
      <c r="CG274" s="469">
        <f t="shared" si="215"/>
        <v>0</v>
      </c>
      <c r="CH274" s="469">
        <f t="shared" si="215"/>
        <v>0</v>
      </c>
      <c r="CI274" s="469">
        <f t="shared" si="215"/>
        <v>0</v>
      </c>
      <c r="CJ274" s="469">
        <f t="shared" si="215"/>
        <v>0</v>
      </c>
      <c r="CK274" s="469">
        <f t="shared" ref="CK274" si="216">(IF($G38=CK$257,$L$245,0))</f>
        <v>0</v>
      </c>
      <c r="CL274" s="469"/>
      <c r="CM274" s="471"/>
      <c r="CN274" s="469">
        <f t="shared" si="42"/>
        <v>0</v>
      </c>
      <c r="CO274" s="469">
        <f t="shared" si="42"/>
        <v>0</v>
      </c>
      <c r="CP274" s="469">
        <f t="shared" si="42"/>
        <v>0</v>
      </c>
      <c r="CQ274" s="471"/>
      <c r="CR274" s="471"/>
      <c r="CS274" s="469">
        <f t="shared" ref="CS274:CY274" si="217">(IF($G38=CS$257,$L$250,0))</f>
        <v>0</v>
      </c>
      <c r="CT274" s="469">
        <f t="shared" si="217"/>
        <v>0</v>
      </c>
      <c r="CU274" s="469">
        <f t="shared" si="217"/>
        <v>0</v>
      </c>
      <c r="CV274" s="469">
        <f t="shared" si="217"/>
        <v>0</v>
      </c>
      <c r="CW274" s="469">
        <f t="shared" si="217"/>
        <v>0</v>
      </c>
      <c r="CX274" s="469">
        <f t="shared" si="217"/>
        <v>0</v>
      </c>
      <c r="CY274" s="469">
        <f t="shared" si="217"/>
        <v>0</v>
      </c>
      <c r="CZ274" s="471"/>
      <c r="DA274" s="471"/>
      <c r="DB274" s="469">
        <f t="shared" ref="DB274:DL274" si="218">(IF($G38=DB$257,$L$246,0))</f>
        <v>0</v>
      </c>
      <c r="DC274" s="469">
        <f t="shared" si="218"/>
        <v>0</v>
      </c>
      <c r="DD274" s="469">
        <f t="shared" si="218"/>
        <v>0</v>
      </c>
      <c r="DE274" s="469">
        <f t="shared" si="218"/>
        <v>0</v>
      </c>
      <c r="DF274" s="469">
        <f t="shared" si="218"/>
        <v>0</v>
      </c>
      <c r="DG274" s="469">
        <f t="shared" si="218"/>
        <v>0</v>
      </c>
      <c r="DH274" s="469">
        <f t="shared" si="218"/>
        <v>0</v>
      </c>
      <c r="DI274" s="469">
        <f t="shared" si="218"/>
        <v>0</v>
      </c>
      <c r="DJ274" s="469">
        <f t="shared" si="218"/>
        <v>0</v>
      </c>
      <c r="DK274" s="469">
        <f t="shared" si="218"/>
        <v>0</v>
      </c>
      <c r="DL274" s="469">
        <f t="shared" si="218"/>
        <v>0</v>
      </c>
      <c r="DM274" s="469">
        <f t="shared" ref="DM274:DT274" si="219">(IF($G38=DM$257,$L$246,0))</f>
        <v>0</v>
      </c>
      <c r="DN274" s="469">
        <f t="shared" si="219"/>
        <v>0</v>
      </c>
      <c r="DO274" s="469">
        <f t="shared" si="219"/>
        <v>0</v>
      </c>
      <c r="DP274" s="469">
        <f t="shared" si="219"/>
        <v>0</v>
      </c>
      <c r="DQ274" s="469">
        <f t="shared" si="219"/>
        <v>0</v>
      </c>
      <c r="DR274" s="469">
        <f t="shared" si="219"/>
        <v>0</v>
      </c>
      <c r="DS274" s="469">
        <f t="shared" si="219"/>
        <v>0</v>
      </c>
      <c r="DT274" s="469">
        <f t="shared" si="219"/>
        <v>0</v>
      </c>
      <c r="DU274" s="469"/>
      <c r="DV274" s="469"/>
      <c r="DW274" s="471"/>
      <c r="DX274" s="471"/>
      <c r="DY274" s="474">
        <f t="shared" si="66"/>
        <v>0</v>
      </c>
      <c r="EA274" s="477">
        <f t="shared" si="67"/>
        <v>0</v>
      </c>
      <c r="EG274" s="479">
        <f t="shared" si="46"/>
        <v>9.9999999999999995E-8</v>
      </c>
      <c r="EH274" s="480">
        <f t="shared" si="68"/>
        <v>1500</v>
      </c>
      <c r="EI274" s="480">
        <f t="shared" si="69"/>
        <v>0</v>
      </c>
      <c r="EJ274" s="480">
        <f t="shared" si="70"/>
        <v>0</v>
      </c>
      <c r="EK274" s="480">
        <f t="shared" si="71"/>
        <v>0</v>
      </c>
      <c r="EL274" s="480">
        <f t="shared" si="72"/>
        <v>1500</v>
      </c>
      <c r="EM274" s="480"/>
      <c r="EN274" s="480">
        <f t="shared" si="73"/>
        <v>1500</v>
      </c>
      <c r="EO274" s="655">
        <f t="shared" si="74"/>
        <v>0</v>
      </c>
      <c r="EP274" s="655">
        <f t="shared" si="75"/>
        <v>1500</v>
      </c>
      <c r="EQ274" s="481"/>
      <c r="ER274" s="655">
        <f t="shared" si="76"/>
        <v>1500</v>
      </c>
      <c r="ES274" s="656">
        <f t="shared" si="77"/>
        <v>1500</v>
      </c>
      <c r="ET274" s="656">
        <f t="shared" si="78"/>
        <v>0</v>
      </c>
      <c r="EU274" s="656">
        <f t="shared" si="79"/>
        <v>0</v>
      </c>
      <c r="EV274" s="656">
        <f t="shared" si="80"/>
        <v>1500</v>
      </c>
      <c r="EW274" s="483">
        <f t="shared" si="81"/>
        <v>1500</v>
      </c>
      <c r="EX274" s="398">
        <f t="shared" si="82"/>
        <v>0</v>
      </c>
      <c r="EY274" s="285" t="str">
        <f t="shared" si="47"/>
        <v>X</v>
      </c>
      <c r="EZ274" s="245">
        <f t="shared" si="83"/>
        <v>0</v>
      </c>
      <c r="FA274" s="245">
        <f t="shared" si="84"/>
        <v>0</v>
      </c>
    </row>
    <row r="275" spans="1:157" ht="15" customHeight="1">
      <c r="A275" s="244">
        <f t="shared" si="48"/>
        <v>-0.05</v>
      </c>
      <c r="B275" s="282">
        <v>16</v>
      </c>
      <c r="C275" s="441">
        <f t="shared" si="26"/>
        <v>0</v>
      </c>
      <c r="D275" s="245">
        <f t="shared" si="27"/>
        <v>0</v>
      </c>
      <c r="E275" s="444">
        <f t="shared" si="85"/>
        <v>0</v>
      </c>
      <c r="F275" s="442">
        <f>(PROPOSITION!AA36)+A275</f>
        <v>-0.05</v>
      </c>
      <c r="G275" s="442">
        <f t="shared" si="28"/>
        <v>0</v>
      </c>
      <c r="H275" s="445">
        <f t="shared" si="86"/>
        <v>0</v>
      </c>
      <c r="I275" s="444">
        <f t="shared" si="86"/>
        <v>-0.1</v>
      </c>
      <c r="J275" s="444">
        <f t="shared" si="29"/>
        <v>0</v>
      </c>
      <c r="K275" s="442">
        <f>IF(PROPOSITION!S36="N",-0.2,0)</f>
        <v>0</v>
      </c>
      <c r="L275" s="442">
        <f t="shared" si="87"/>
        <v>0</v>
      </c>
      <c r="N275" s="442">
        <f t="shared" si="88"/>
        <v>0</v>
      </c>
      <c r="O275" s="645">
        <f t="shared" si="49"/>
        <v>0</v>
      </c>
      <c r="P275" s="645">
        <f t="shared" si="50"/>
        <v>0</v>
      </c>
      <c r="Q275" s="442">
        <f t="shared" si="30"/>
        <v>0</v>
      </c>
      <c r="R275" s="444">
        <f t="shared" si="31"/>
        <v>0.2</v>
      </c>
      <c r="S275" s="444">
        <f t="shared" si="89"/>
        <v>0</v>
      </c>
      <c r="T275" s="399">
        <f t="shared" si="32"/>
        <v>0</v>
      </c>
      <c r="U275" s="513">
        <f t="shared" si="51"/>
        <v>0</v>
      </c>
      <c r="V275" s="282"/>
      <c r="W275" s="476">
        <f t="shared" si="52"/>
        <v>4.9999999999999989E-2</v>
      </c>
      <c r="Y275" s="475">
        <f t="shared" si="53"/>
        <v>4.9999999999999989E-2</v>
      </c>
      <c r="Z275" s="475">
        <f t="shared" si="33"/>
        <v>0</v>
      </c>
      <c r="AA275" s="395">
        <v>0</v>
      </c>
      <c r="AB275" s="629">
        <f t="shared" si="54"/>
        <v>0</v>
      </c>
      <c r="AC275" s="612">
        <f>PROPOSITION!Y36</f>
        <v>0</v>
      </c>
      <c r="AD275" s="396">
        <f t="shared" si="55"/>
        <v>0</v>
      </c>
      <c r="AE275" s="396"/>
      <c r="AF275" s="396"/>
      <c r="AH275" s="469">
        <f t="shared" si="34"/>
        <v>0</v>
      </c>
      <c r="AI275" s="469">
        <f t="shared" si="34"/>
        <v>0</v>
      </c>
      <c r="AJ275" s="469">
        <f t="shared" si="34"/>
        <v>0</v>
      </c>
      <c r="AK275" s="469">
        <f t="shared" si="34"/>
        <v>0</v>
      </c>
      <c r="AL275" s="469"/>
      <c r="AM275" s="469"/>
      <c r="AN275" s="469"/>
      <c r="AO275" s="469">
        <f t="shared" ref="AO275:AV275" si="220">(IF($G39=AO$257,$L$244,0))</f>
        <v>0</v>
      </c>
      <c r="AP275" s="469">
        <f t="shared" si="220"/>
        <v>0</v>
      </c>
      <c r="AQ275" s="469">
        <f t="shared" si="220"/>
        <v>0</v>
      </c>
      <c r="AR275" s="469">
        <f t="shared" si="220"/>
        <v>0</v>
      </c>
      <c r="AS275" s="469">
        <f t="shared" si="220"/>
        <v>0</v>
      </c>
      <c r="AT275" s="469">
        <f t="shared" si="220"/>
        <v>0</v>
      </c>
      <c r="AU275" s="469">
        <f t="shared" si="220"/>
        <v>0</v>
      </c>
      <c r="AV275" s="469">
        <f t="shared" si="220"/>
        <v>0</v>
      </c>
      <c r="AW275" s="469">
        <f t="shared" si="36"/>
        <v>0</v>
      </c>
      <c r="AX275" s="469">
        <f t="shared" si="36"/>
        <v>0</v>
      </c>
      <c r="AY275" s="469">
        <f t="shared" si="36"/>
        <v>0</v>
      </c>
      <c r="AZ275" s="469">
        <f t="shared" ref="AZ275:BB275" si="221">(IF($G39=AZ$257,$L$244,0))</f>
        <v>0</v>
      </c>
      <c r="BA275" s="469">
        <f t="shared" si="221"/>
        <v>0</v>
      </c>
      <c r="BB275" s="653">
        <f t="shared" si="221"/>
        <v>0</v>
      </c>
      <c r="BC275" s="653">
        <f t="shared" ref="BC275" si="222">(IF($G39=BC$257,$L$244,0))</f>
        <v>0</v>
      </c>
      <c r="BD275" s="469">
        <f t="shared" ref="BD275:BM275" si="223">(IF($G39=BD$257,$L$248,0))</f>
        <v>0</v>
      </c>
      <c r="BE275" s="469">
        <f t="shared" si="223"/>
        <v>0</v>
      </c>
      <c r="BF275" s="469">
        <f t="shared" si="223"/>
        <v>0</v>
      </c>
      <c r="BG275" s="469">
        <f t="shared" si="223"/>
        <v>0</v>
      </c>
      <c r="BH275" s="469">
        <f t="shared" si="223"/>
        <v>0</v>
      </c>
      <c r="BI275" s="469">
        <f t="shared" si="223"/>
        <v>0</v>
      </c>
      <c r="BJ275" s="469">
        <f t="shared" si="223"/>
        <v>0</v>
      </c>
      <c r="BK275" s="469">
        <f t="shared" si="223"/>
        <v>0</v>
      </c>
      <c r="BL275" s="469">
        <f t="shared" si="223"/>
        <v>0</v>
      </c>
      <c r="BM275" s="469">
        <f t="shared" si="223"/>
        <v>0</v>
      </c>
      <c r="BN275" s="470"/>
      <c r="BO275" s="470"/>
      <c r="BP275" s="469">
        <f t="shared" ref="BP275:BX275" si="224">(IF($G39=BP$257,$L$245,0))</f>
        <v>0</v>
      </c>
      <c r="BQ275" s="469">
        <f t="shared" si="224"/>
        <v>0</v>
      </c>
      <c r="BR275" s="469">
        <f t="shared" si="224"/>
        <v>0</v>
      </c>
      <c r="BS275" s="469">
        <f t="shared" si="224"/>
        <v>0</v>
      </c>
      <c r="BT275" s="469">
        <f t="shared" si="224"/>
        <v>0</v>
      </c>
      <c r="BU275" s="469">
        <f t="shared" si="224"/>
        <v>0</v>
      </c>
      <c r="BV275" s="469">
        <f t="shared" si="224"/>
        <v>0</v>
      </c>
      <c r="BW275" s="469">
        <f t="shared" si="224"/>
        <v>0</v>
      </c>
      <c r="BX275" s="469">
        <f t="shared" si="224"/>
        <v>0</v>
      </c>
      <c r="BY275" s="469">
        <f t="shared" ref="BY275:CJ275" si="225">(IF($G39=BY$257,$L$245,0))</f>
        <v>0</v>
      </c>
      <c r="BZ275" s="469">
        <f t="shared" si="225"/>
        <v>0</v>
      </c>
      <c r="CA275" s="469">
        <f t="shared" si="225"/>
        <v>0</v>
      </c>
      <c r="CB275" s="469">
        <f t="shared" si="225"/>
        <v>0</v>
      </c>
      <c r="CC275" s="469">
        <f t="shared" si="225"/>
        <v>0</v>
      </c>
      <c r="CD275" s="469">
        <f t="shared" si="225"/>
        <v>0</v>
      </c>
      <c r="CE275" s="469">
        <f t="shared" si="225"/>
        <v>0</v>
      </c>
      <c r="CF275" s="469">
        <f t="shared" si="225"/>
        <v>0</v>
      </c>
      <c r="CG275" s="469">
        <f t="shared" si="225"/>
        <v>0</v>
      </c>
      <c r="CH275" s="469">
        <f t="shared" si="225"/>
        <v>0</v>
      </c>
      <c r="CI275" s="469">
        <f t="shared" si="225"/>
        <v>0</v>
      </c>
      <c r="CJ275" s="469">
        <f t="shared" si="225"/>
        <v>0</v>
      </c>
      <c r="CK275" s="469">
        <f t="shared" ref="CK275" si="226">(IF($G39=CK$257,$L$245,0))</f>
        <v>0</v>
      </c>
      <c r="CL275" s="469"/>
      <c r="CM275" s="471"/>
      <c r="CN275" s="469">
        <f t="shared" si="42"/>
        <v>0</v>
      </c>
      <c r="CO275" s="469">
        <f t="shared" si="42"/>
        <v>0</v>
      </c>
      <c r="CP275" s="469">
        <f t="shared" si="42"/>
        <v>0</v>
      </c>
      <c r="CQ275" s="471"/>
      <c r="CR275" s="471"/>
      <c r="CS275" s="469">
        <f t="shared" ref="CS275:CY275" si="227">(IF($G39=CS$257,$L$250,0))</f>
        <v>0</v>
      </c>
      <c r="CT275" s="469">
        <f t="shared" si="227"/>
        <v>0</v>
      </c>
      <c r="CU275" s="469">
        <f t="shared" si="227"/>
        <v>0</v>
      </c>
      <c r="CV275" s="469">
        <f t="shared" si="227"/>
        <v>0</v>
      </c>
      <c r="CW275" s="469">
        <f t="shared" si="227"/>
        <v>0</v>
      </c>
      <c r="CX275" s="469">
        <f t="shared" si="227"/>
        <v>0</v>
      </c>
      <c r="CY275" s="469">
        <f t="shared" si="227"/>
        <v>0</v>
      </c>
      <c r="CZ275" s="471"/>
      <c r="DA275" s="471"/>
      <c r="DB275" s="469">
        <f t="shared" ref="DB275:DL275" si="228">(IF($G39=DB$257,$L$246,0))</f>
        <v>0</v>
      </c>
      <c r="DC275" s="469">
        <f t="shared" si="228"/>
        <v>0</v>
      </c>
      <c r="DD275" s="469">
        <f t="shared" si="228"/>
        <v>0</v>
      </c>
      <c r="DE275" s="469">
        <f t="shared" si="228"/>
        <v>0</v>
      </c>
      <c r="DF275" s="469">
        <f t="shared" si="228"/>
        <v>0</v>
      </c>
      <c r="DG275" s="469">
        <f t="shared" si="228"/>
        <v>0</v>
      </c>
      <c r="DH275" s="469">
        <f t="shared" si="228"/>
        <v>0</v>
      </c>
      <c r="DI275" s="469">
        <f t="shared" si="228"/>
        <v>0</v>
      </c>
      <c r="DJ275" s="469">
        <f t="shared" si="228"/>
        <v>0</v>
      </c>
      <c r="DK275" s="469">
        <f t="shared" si="228"/>
        <v>0</v>
      </c>
      <c r="DL275" s="469">
        <f t="shared" si="228"/>
        <v>0</v>
      </c>
      <c r="DM275" s="469">
        <f t="shared" ref="DM275:DT275" si="229">(IF($G39=DM$257,$L$246,0))</f>
        <v>0</v>
      </c>
      <c r="DN275" s="469">
        <f t="shared" si="229"/>
        <v>0</v>
      </c>
      <c r="DO275" s="469">
        <f t="shared" si="229"/>
        <v>0</v>
      </c>
      <c r="DP275" s="469">
        <f t="shared" si="229"/>
        <v>0</v>
      </c>
      <c r="DQ275" s="469">
        <f t="shared" si="229"/>
        <v>0</v>
      </c>
      <c r="DR275" s="469">
        <f t="shared" si="229"/>
        <v>0</v>
      </c>
      <c r="DS275" s="469">
        <f t="shared" si="229"/>
        <v>0</v>
      </c>
      <c r="DT275" s="469">
        <f t="shared" si="229"/>
        <v>0</v>
      </c>
      <c r="DU275" s="469"/>
      <c r="DV275" s="469"/>
      <c r="DW275" s="471"/>
      <c r="DX275" s="471"/>
      <c r="DY275" s="474">
        <f t="shared" si="66"/>
        <v>0</v>
      </c>
      <c r="EA275" s="477">
        <f t="shared" si="67"/>
        <v>0</v>
      </c>
      <c r="EG275" s="479">
        <f t="shared" si="46"/>
        <v>9.9999999999999995E-8</v>
      </c>
      <c r="EH275" s="480">
        <f t="shared" si="68"/>
        <v>1500</v>
      </c>
      <c r="EI275" s="480">
        <f t="shared" si="69"/>
        <v>0</v>
      </c>
      <c r="EJ275" s="480">
        <f t="shared" si="70"/>
        <v>0</v>
      </c>
      <c r="EK275" s="480">
        <f t="shared" si="71"/>
        <v>0</v>
      </c>
      <c r="EL275" s="480">
        <f t="shared" si="72"/>
        <v>1500</v>
      </c>
      <c r="EM275" s="480"/>
      <c r="EN275" s="480">
        <f t="shared" si="73"/>
        <v>1500</v>
      </c>
      <c r="EO275" s="655">
        <f t="shared" si="74"/>
        <v>0</v>
      </c>
      <c r="EP275" s="655">
        <f t="shared" si="75"/>
        <v>1500</v>
      </c>
      <c r="EQ275" s="481"/>
      <c r="ER275" s="655">
        <f t="shared" si="76"/>
        <v>1500</v>
      </c>
      <c r="ES275" s="656">
        <f t="shared" si="77"/>
        <v>1500</v>
      </c>
      <c r="ET275" s="656">
        <f t="shared" si="78"/>
        <v>0</v>
      </c>
      <c r="EU275" s="656">
        <f t="shared" si="79"/>
        <v>0</v>
      </c>
      <c r="EV275" s="656">
        <f t="shared" si="80"/>
        <v>1500</v>
      </c>
      <c r="EW275" s="483">
        <f t="shared" si="81"/>
        <v>1500</v>
      </c>
      <c r="EX275" s="398">
        <f t="shared" si="82"/>
        <v>0</v>
      </c>
      <c r="EY275" s="285" t="str">
        <f t="shared" si="47"/>
        <v>X</v>
      </c>
      <c r="EZ275" s="245">
        <f t="shared" si="83"/>
        <v>0</v>
      </c>
      <c r="FA275" s="245">
        <f t="shared" si="84"/>
        <v>0</v>
      </c>
    </row>
    <row r="276" spans="1:157" ht="15" customHeight="1">
      <c r="A276" s="244">
        <f t="shared" si="48"/>
        <v>-0.05</v>
      </c>
      <c r="B276" s="282">
        <v>17</v>
      </c>
      <c r="C276" s="441">
        <f t="shared" si="26"/>
        <v>0</v>
      </c>
      <c r="D276" s="245">
        <f t="shared" si="27"/>
        <v>0</v>
      </c>
      <c r="E276" s="444">
        <f t="shared" si="85"/>
        <v>0</v>
      </c>
      <c r="F276" s="442">
        <f>(PROPOSITION!AA37)+A276</f>
        <v>-0.05</v>
      </c>
      <c r="G276" s="442">
        <f t="shared" si="28"/>
        <v>0</v>
      </c>
      <c r="H276" s="445">
        <f t="shared" si="86"/>
        <v>0</v>
      </c>
      <c r="I276" s="444">
        <f t="shared" si="86"/>
        <v>-0.1</v>
      </c>
      <c r="J276" s="444">
        <f t="shared" si="29"/>
        <v>0</v>
      </c>
      <c r="K276" s="442">
        <f>IF(PROPOSITION!S37="N",-0.2,0)</f>
        <v>0</v>
      </c>
      <c r="L276" s="442">
        <f t="shared" si="87"/>
        <v>0</v>
      </c>
      <c r="N276" s="442">
        <f t="shared" si="88"/>
        <v>0</v>
      </c>
      <c r="O276" s="645">
        <f t="shared" si="49"/>
        <v>0</v>
      </c>
      <c r="P276" s="645">
        <f t="shared" si="50"/>
        <v>0</v>
      </c>
      <c r="Q276" s="442">
        <f t="shared" si="30"/>
        <v>0</v>
      </c>
      <c r="R276" s="444">
        <f t="shared" si="31"/>
        <v>0.2</v>
      </c>
      <c r="S276" s="444">
        <f t="shared" si="89"/>
        <v>0</v>
      </c>
      <c r="T276" s="399">
        <f t="shared" si="32"/>
        <v>0</v>
      </c>
      <c r="U276" s="513">
        <f t="shared" si="51"/>
        <v>0</v>
      </c>
      <c r="V276" s="282"/>
      <c r="W276" s="476">
        <f t="shared" si="52"/>
        <v>4.9999999999999989E-2</v>
      </c>
      <c r="Y276" s="475">
        <f t="shared" si="53"/>
        <v>4.9999999999999989E-2</v>
      </c>
      <c r="Z276" s="475">
        <f t="shared" si="33"/>
        <v>0</v>
      </c>
      <c r="AA276" s="395">
        <v>0</v>
      </c>
      <c r="AB276" s="629">
        <f t="shared" si="54"/>
        <v>0</v>
      </c>
      <c r="AC276" s="612">
        <f>PROPOSITION!Y37</f>
        <v>0</v>
      </c>
      <c r="AD276" s="396">
        <f t="shared" si="55"/>
        <v>0</v>
      </c>
      <c r="AE276" s="396"/>
      <c r="AF276" s="396"/>
      <c r="AH276" s="469">
        <f t="shared" si="34"/>
        <v>0</v>
      </c>
      <c r="AI276" s="469">
        <f t="shared" si="34"/>
        <v>0</v>
      </c>
      <c r="AJ276" s="469">
        <f t="shared" si="34"/>
        <v>0</v>
      </c>
      <c r="AK276" s="469">
        <f t="shared" si="34"/>
        <v>0</v>
      </c>
      <c r="AL276" s="469"/>
      <c r="AM276" s="469"/>
      <c r="AN276" s="469"/>
      <c r="AO276" s="469">
        <f t="shared" ref="AO276:AV276" si="230">(IF($G40=AO$257,$L$244,0))</f>
        <v>0</v>
      </c>
      <c r="AP276" s="469">
        <f t="shared" si="230"/>
        <v>0</v>
      </c>
      <c r="AQ276" s="469">
        <f t="shared" si="230"/>
        <v>0</v>
      </c>
      <c r="AR276" s="469">
        <f t="shared" si="230"/>
        <v>0</v>
      </c>
      <c r="AS276" s="469">
        <f t="shared" si="230"/>
        <v>0</v>
      </c>
      <c r="AT276" s="469">
        <f t="shared" si="230"/>
        <v>0</v>
      </c>
      <c r="AU276" s="469">
        <f t="shared" si="230"/>
        <v>0</v>
      </c>
      <c r="AV276" s="469">
        <f t="shared" si="230"/>
        <v>0</v>
      </c>
      <c r="AW276" s="469">
        <f t="shared" si="36"/>
        <v>0</v>
      </c>
      <c r="AX276" s="469">
        <f t="shared" si="36"/>
        <v>0</v>
      </c>
      <c r="AY276" s="469">
        <f t="shared" si="36"/>
        <v>0</v>
      </c>
      <c r="AZ276" s="469">
        <f t="shared" ref="AZ276:BB276" si="231">(IF($G40=AZ$257,$L$244,0))</f>
        <v>0</v>
      </c>
      <c r="BA276" s="469">
        <f t="shared" si="231"/>
        <v>0</v>
      </c>
      <c r="BB276" s="653">
        <f t="shared" si="231"/>
        <v>0</v>
      </c>
      <c r="BC276" s="653">
        <f t="shared" ref="BC276" si="232">(IF($G40=BC$257,$L$244,0))</f>
        <v>0</v>
      </c>
      <c r="BD276" s="469">
        <f t="shared" ref="BD276:BM276" si="233">(IF($G40=BD$257,$L$248,0))</f>
        <v>0</v>
      </c>
      <c r="BE276" s="469">
        <f t="shared" si="233"/>
        <v>0</v>
      </c>
      <c r="BF276" s="469">
        <f t="shared" si="233"/>
        <v>0</v>
      </c>
      <c r="BG276" s="469">
        <f t="shared" si="233"/>
        <v>0</v>
      </c>
      <c r="BH276" s="469">
        <f t="shared" si="233"/>
        <v>0</v>
      </c>
      <c r="BI276" s="469">
        <f t="shared" si="233"/>
        <v>0</v>
      </c>
      <c r="BJ276" s="469">
        <f t="shared" si="233"/>
        <v>0</v>
      </c>
      <c r="BK276" s="469">
        <f t="shared" si="233"/>
        <v>0</v>
      </c>
      <c r="BL276" s="469">
        <f t="shared" si="233"/>
        <v>0</v>
      </c>
      <c r="BM276" s="469">
        <f t="shared" si="233"/>
        <v>0</v>
      </c>
      <c r="BN276" s="470"/>
      <c r="BO276" s="470"/>
      <c r="BP276" s="469">
        <f t="shared" ref="BP276:BX276" si="234">(IF($G40=BP$257,$L$245,0))</f>
        <v>0</v>
      </c>
      <c r="BQ276" s="469">
        <f t="shared" si="234"/>
        <v>0</v>
      </c>
      <c r="BR276" s="469">
        <f t="shared" si="234"/>
        <v>0</v>
      </c>
      <c r="BS276" s="469">
        <f t="shared" si="234"/>
        <v>0</v>
      </c>
      <c r="BT276" s="469">
        <f t="shared" si="234"/>
        <v>0</v>
      </c>
      <c r="BU276" s="469">
        <f t="shared" si="234"/>
        <v>0</v>
      </c>
      <c r="BV276" s="469">
        <f t="shared" si="234"/>
        <v>0</v>
      </c>
      <c r="BW276" s="469">
        <f t="shared" si="234"/>
        <v>0</v>
      </c>
      <c r="BX276" s="469">
        <f t="shared" si="234"/>
        <v>0</v>
      </c>
      <c r="BY276" s="469">
        <f t="shared" ref="BY276:CJ276" si="235">(IF($G40=BY$257,$L$245,0))</f>
        <v>0</v>
      </c>
      <c r="BZ276" s="469">
        <f t="shared" si="235"/>
        <v>0</v>
      </c>
      <c r="CA276" s="469">
        <f t="shared" si="235"/>
        <v>0</v>
      </c>
      <c r="CB276" s="469">
        <f t="shared" si="235"/>
        <v>0</v>
      </c>
      <c r="CC276" s="469">
        <f t="shared" si="235"/>
        <v>0</v>
      </c>
      <c r="CD276" s="469">
        <f t="shared" si="235"/>
        <v>0</v>
      </c>
      <c r="CE276" s="469">
        <f t="shared" si="235"/>
        <v>0</v>
      </c>
      <c r="CF276" s="469">
        <f t="shared" si="235"/>
        <v>0</v>
      </c>
      <c r="CG276" s="469">
        <f t="shared" si="235"/>
        <v>0</v>
      </c>
      <c r="CH276" s="469">
        <f t="shared" si="235"/>
        <v>0</v>
      </c>
      <c r="CI276" s="469">
        <f t="shared" si="235"/>
        <v>0</v>
      </c>
      <c r="CJ276" s="469">
        <f t="shared" si="235"/>
        <v>0</v>
      </c>
      <c r="CK276" s="469">
        <f t="shared" ref="CK276" si="236">(IF($G40=CK$257,$L$245,0))</f>
        <v>0</v>
      </c>
      <c r="CL276" s="469"/>
      <c r="CM276" s="471"/>
      <c r="CN276" s="469">
        <f t="shared" si="42"/>
        <v>0</v>
      </c>
      <c r="CO276" s="469">
        <f t="shared" si="42"/>
        <v>0</v>
      </c>
      <c r="CP276" s="469">
        <f t="shared" si="42"/>
        <v>0</v>
      </c>
      <c r="CQ276" s="471"/>
      <c r="CR276" s="471"/>
      <c r="CS276" s="469">
        <f t="shared" ref="CS276:CY276" si="237">(IF($G40=CS$257,$L$250,0))</f>
        <v>0</v>
      </c>
      <c r="CT276" s="469">
        <f t="shared" si="237"/>
        <v>0</v>
      </c>
      <c r="CU276" s="469">
        <f t="shared" si="237"/>
        <v>0</v>
      </c>
      <c r="CV276" s="469">
        <f t="shared" si="237"/>
        <v>0</v>
      </c>
      <c r="CW276" s="469">
        <f t="shared" si="237"/>
        <v>0</v>
      </c>
      <c r="CX276" s="469">
        <f t="shared" si="237"/>
        <v>0</v>
      </c>
      <c r="CY276" s="469">
        <f t="shared" si="237"/>
        <v>0</v>
      </c>
      <c r="CZ276" s="471"/>
      <c r="DA276" s="471"/>
      <c r="DB276" s="469">
        <f t="shared" ref="DB276:DL276" si="238">(IF($G40=DB$257,$L$246,0))</f>
        <v>0</v>
      </c>
      <c r="DC276" s="469">
        <f t="shared" si="238"/>
        <v>0</v>
      </c>
      <c r="DD276" s="469">
        <f t="shared" si="238"/>
        <v>0</v>
      </c>
      <c r="DE276" s="469">
        <f t="shared" si="238"/>
        <v>0</v>
      </c>
      <c r="DF276" s="469">
        <f t="shared" si="238"/>
        <v>0</v>
      </c>
      <c r="DG276" s="469">
        <f t="shared" si="238"/>
        <v>0</v>
      </c>
      <c r="DH276" s="469">
        <f t="shared" si="238"/>
        <v>0</v>
      </c>
      <c r="DI276" s="469">
        <f t="shared" si="238"/>
        <v>0</v>
      </c>
      <c r="DJ276" s="469">
        <f t="shared" si="238"/>
        <v>0</v>
      </c>
      <c r="DK276" s="469">
        <f t="shared" si="238"/>
        <v>0</v>
      </c>
      <c r="DL276" s="469">
        <f t="shared" si="238"/>
        <v>0</v>
      </c>
      <c r="DM276" s="469">
        <f t="shared" ref="DM276:DT276" si="239">(IF($G40=DM$257,$L$246,0))</f>
        <v>0</v>
      </c>
      <c r="DN276" s="469">
        <f t="shared" si="239"/>
        <v>0</v>
      </c>
      <c r="DO276" s="469">
        <f t="shared" si="239"/>
        <v>0</v>
      </c>
      <c r="DP276" s="469">
        <f t="shared" si="239"/>
        <v>0</v>
      </c>
      <c r="DQ276" s="469">
        <f t="shared" si="239"/>
        <v>0</v>
      </c>
      <c r="DR276" s="469">
        <f t="shared" si="239"/>
        <v>0</v>
      </c>
      <c r="DS276" s="469">
        <f t="shared" si="239"/>
        <v>0</v>
      </c>
      <c r="DT276" s="469">
        <f t="shared" si="239"/>
        <v>0</v>
      </c>
      <c r="DU276" s="469"/>
      <c r="DV276" s="469"/>
      <c r="DW276" s="471"/>
      <c r="DX276" s="471"/>
      <c r="DY276" s="474">
        <f t="shared" si="66"/>
        <v>0</v>
      </c>
      <c r="EA276" s="477">
        <f t="shared" si="67"/>
        <v>0</v>
      </c>
      <c r="EG276" s="479">
        <f t="shared" si="46"/>
        <v>9.9999999999999995E-8</v>
      </c>
      <c r="EH276" s="480">
        <f t="shared" si="68"/>
        <v>1500</v>
      </c>
      <c r="EI276" s="480">
        <f t="shared" si="69"/>
        <v>0</v>
      </c>
      <c r="EJ276" s="480">
        <f t="shared" si="70"/>
        <v>0</v>
      </c>
      <c r="EK276" s="480">
        <f t="shared" si="71"/>
        <v>0</v>
      </c>
      <c r="EL276" s="480">
        <f t="shared" si="72"/>
        <v>1500</v>
      </c>
      <c r="EM276" s="480"/>
      <c r="EN276" s="480">
        <f t="shared" si="73"/>
        <v>1500</v>
      </c>
      <c r="EO276" s="655">
        <f t="shared" si="74"/>
        <v>0</v>
      </c>
      <c r="EP276" s="655">
        <f t="shared" si="75"/>
        <v>1500</v>
      </c>
      <c r="EQ276" s="481"/>
      <c r="ER276" s="655">
        <f t="shared" si="76"/>
        <v>1500</v>
      </c>
      <c r="ES276" s="656">
        <f t="shared" si="77"/>
        <v>1500</v>
      </c>
      <c r="ET276" s="656">
        <f t="shared" si="78"/>
        <v>0</v>
      </c>
      <c r="EU276" s="656">
        <f t="shared" si="79"/>
        <v>0</v>
      </c>
      <c r="EV276" s="656">
        <f t="shared" si="80"/>
        <v>1500</v>
      </c>
      <c r="EW276" s="483">
        <f t="shared" si="81"/>
        <v>1500</v>
      </c>
      <c r="EX276" s="398">
        <f t="shared" si="82"/>
        <v>0</v>
      </c>
      <c r="EY276" s="285" t="str">
        <f t="shared" si="47"/>
        <v>X</v>
      </c>
      <c r="EZ276" s="245">
        <f t="shared" si="83"/>
        <v>0</v>
      </c>
      <c r="FA276" s="245">
        <f t="shared" si="84"/>
        <v>0</v>
      </c>
    </row>
    <row r="277" spans="1:157" ht="15" customHeight="1">
      <c r="A277" s="244">
        <f t="shared" si="48"/>
        <v>-0.05</v>
      </c>
      <c r="B277" s="282">
        <v>18</v>
      </c>
      <c r="C277" s="441">
        <f t="shared" si="26"/>
        <v>0</v>
      </c>
      <c r="D277" s="245">
        <f t="shared" si="27"/>
        <v>0</v>
      </c>
      <c r="E277" s="444">
        <f t="shared" si="85"/>
        <v>0</v>
      </c>
      <c r="F277" s="442">
        <f>(PROPOSITION!AA38)+A277</f>
        <v>-0.05</v>
      </c>
      <c r="G277" s="442">
        <f t="shared" si="28"/>
        <v>0</v>
      </c>
      <c r="H277" s="445">
        <f t="shared" si="86"/>
        <v>0</v>
      </c>
      <c r="I277" s="444">
        <f t="shared" si="86"/>
        <v>-0.1</v>
      </c>
      <c r="J277" s="444">
        <f t="shared" si="29"/>
        <v>0</v>
      </c>
      <c r="K277" s="442">
        <f>IF(PROPOSITION!S38="N",-0.2,0)</f>
        <v>0</v>
      </c>
      <c r="L277" s="442">
        <f t="shared" si="87"/>
        <v>0</v>
      </c>
      <c r="N277" s="442">
        <f t="shared" si="88"/>
        <v>0</v>
      </c>
      <c r="O277" s="645">
        <f t="shared" si="49"/>
        <v>0</v>
      </c>
      <c r="P277" s="645">
        <f t="shared" si="50"/>
        <v>0</v>
      </c>
      <c r="Q277" s="442">
        <f t="shared" si="30"/>
        <v>0</v>
      </c>
      <c r="R277" s="444">
        <f t="shared" si="31"/>
        <v>0.2</v>
      </c>
      <c r="S277" s="444">
        <f t="shared" si="89"/>
        <v>0</v>
      </c>
      <c r="T277" s="399">
        <f t="shared" si="32"/>
        <v>0</v>
      </c>
      <c r="U277" s="513">
        <f t="shared" si="51"/>
        <v>0</v>
      </c>
      <c r="V277" s="282"/>
      <c r="W277" s="476">
        <f t="shared" si="52"/>
        <v>4.9999999999999989E-2</v>
      </c>
      <c r="Y277" s="475">
        <f t="shared" si="53"/>
        <v>4.9999999999999989E-2</v>
      </c>
      <c r="Z277" s="475">
        <f t="shared" si="33"/>
        <v>0</v>
      </c>
      <c r="AA277" s="395">
        <v>0</v>
      </c>
      <c r="AB277" s="629">
        <f t="shared" si="54"/>
        <v>0</v>
      </c>
      <c r="AC277" s="612">
        <f>PROPOSITION!Y38</f>
        <v>0</v>
      </c>
      <c r="AD277" s="396">
        <f t="shared" si="55"/>
        <v>0</v>
      </c>
      <c r="AE277" s="396"/>
      <c r="AF277" s="396"/>
      <c r="AH277" s="469">
        <f t="shared" si="34"/>
        <v>0</v>
      </c>
      <c r="AI277" s="469">
        <f t="shared" si="34"/>
        <v>0</v>
      </c>
      <c r="AJ277" s="469">
        <f t="shared" si="34"/>
        <v>0</v>
      </c>
      <c r="AK277" s="469">
        <f t="shared" si="34"/>
        <v>0</v>
      </c>
      <c r="AL277" s="469"/>
      <c r="AM277" s="469"/>
      <c r="AN277" s="469"/>
      <c r="AO277" s="469">
        <f t="shared" ref="AO277:AV277" si="240">(IF($G41=AO$257,$L$244,0))</f>
        <v>0</v>
      </c>
      <c r="AP277" s="469">
        <f t="shared" si="240"/>
        <v>0</v>
      </c>
      <c r="AQ277" s="469">
        <f t="shared" si="240"/>
        <v>0</v>
      </c>
      <c r="AR277" s="469">
        <f t="shared" si="240"/>
        <v>0</v>
      </c>
      <c r="AS277" s="469">
        <f t="shared" si="240"/>
        <v>0</v>
      </c>
      <c r="AT277" s="469">
        <f t="shared" si="240"/>
        <v>0</v>
      </c>
      <c r="AU277" s="469">
        <f t="shared" si="240"/>
        <v>0</v>
      </c>
      <c r="AV277" s="469">
        <f t="shared" si="240"/>
        <v>0</v>
      </c>
      <c r="AW277" s="469">
        <f t="shared" si="36"/>
        <v>0</v>
      </c>
      <c r="AX277" s="469">
        <f t="shared" si="36"/>
        <v>0</v>
      </c>
      <c r="AY277" s="469">
        <f t="shared" si="36"/>
        <v>0</v>
      </c>
      <c r="AZ277" s="469">
        <f t="shared" ref="AZ277:BB277" si="241">(IF($G41=AZ$257,$L$244,0))</f>
        <v>0</v>
      </c>
      <c r="BA277" s="469">
        <f t="shared" si="241"/>
        <v>0</v>
      </c>
      <c r="BB277" s="653">
        <f t="shared" si="241"/>
        <v>0</v>
      </c>
      <c r="BC277" s="653">
        <f t="shared" ref="BC277" si="242">(IF($G41=BC$257,$L$244,0))</f>
        <v>0</v>
      </c>
      <c r="BD277" s="469">
        <f t="shared" ref="BD277:BM277" si="243">(IF($G41=BD$257,$L$248,0))</f>
        <v>0</v>
      </c>
      <c r="BE277" s="469">
        <f t="shared" si="243"/>
        <v>0</v>
      </c>
      <c r="BF277" s="469">
        <f t="shared" si="243"/>
        <v>0</v>
      </c>
      <c r="BG277" s="469">
        <f t="shared" si="243"/>
        <v>0</v>
      </c>
      <c r="BH277" s="469">
        <f t="shared" si="243"/>
        <v>0</v>
      </c>
      <c r="BI277" s="469">
        <f t="shared" si="243"/>
        <v>0</v>
      </c>
      <c r="BJ277" s="469">
        <f t="shared" si="243"/>
        <v>0</v>
      </c>
      <c r="BK277" s="469">
        <f t="shared" si="243"/>
        <v>0</v>
      </c>
      <c r="BL277" s="469">
        <f t="shared" si="243"/>
        <v>0</v>
      </c>
      <c r="BM277" s="469">
        <f t="shared" si="243"/>
        <v>0</v>
      </c>
      <c r="BN277" s="470"/>
      <c r="BO277" s="470"/>
      <c r="BP277" s="469">
        <f t="shared" ref="BP277:BX277" si="244">(IF($G41=BP$257,$L$245,0))</f>
        <v>0</v>
      </c>
      <c r="BQ277" s="469">
        <f t="shared" si="244"/>
        <v>0</v>
      </c>
      <c r="BR277" s="469">
        <f t="shared" si="244"/>
        <v>0</v>
      </c>
      <c r="BS277" s="469">
        <f t="shared" si="244"/>
        <v>0</v>
      </c>
      <c r="BT277" s="469">
        <f t="shared" si="244"/>
        <v>0</v>
      </c>
      <c r="BU277" s="469">
        <f t="shared" si="244"/>
        <v>0</v>
      </c>
      <c r="BV277" s="469">
        <f t="shared" si="244"/>
        <v>0</v>
      </c>
      <c r="BW277" s="469">
        <f t="shared" si="244"/>
        <v>0</v>
      </c>
      <c r="BX277" s="469">
        <f t="shared" si="244"/>
        <v>0</v>
      </c>
      <c r="BY277" s="469">
        <f t="shared" ref="BY277:CJ277" si="245">(IF($G41=BY$257,$L$245,0))</f>
        <v>0</v>
      </c>
      <c r="BZ277" s="469">
        <f t="shared" si="245"/>
        <v>0</v>
      </c>
      <c r="CA277" s="469">
        <f t="shared" si="245"/>
        <v>0</v>
      </c>
      <c r="CB277" s="469">
        <f t="shared" si="245"/>
        <v>0</v>
      </c>
      <c r="CC277" s="469">
        <f t="shared" si="245"/>
        <v>0</v>
      </c>
      <c r="CD277" s="469">
        <f t="shared" si="245"/>
        <v>0</v>
      </c>
      <c r="CE277" s="469">
        <f t="shared" si="245"/>
        <v>0</v>
      </c>
      <c r="CF277" s="469">
        <f t="shared" si="245"/>
        <v>0</v>
      </c>
      <c r="CG277" s="469">
        <f t="shared" si="245"/>
        <v>0</v>
      </c>
      <c r="CH277" s="469">
        <f t="shared" si="245"/>
        <v>0</v>
      </c>
      <c r="CI277" s="469">
        <f t="shared" si="245"/>
        <v>0</v>
      </c>
      <c r="CJ277" s="469">
        <f t="shared" si="245"/>
        <v>0</v>
      </c>
      <c r="CK277" s="469">
        <f t="shared" ref="CK277" si="246">(IF($G41=CK$257,$L$245,0))</f>
        <v>0</v>
      </c>
      <c r="CL277" s="469"/>
      <c r="CM277" s="471"/>
      <c r="CN277" s="469">
        <f t="shared" si="42"/>
        <v>0</v>
      </c>
      <c r="CO277" s="469">
        <f t="shared" si="42"/>
        <v>0</v>
      </c>
      <c r="CP277" s="469">
        <f t="shared" si="42"/>
        <v>0</v>
      </c>
      <c r="CQ277" s="471"/>
      <c r="CR277" s="471"/>
      <c r="CS277" s="469">
        <f t="shared" ref="CS277:CY277" si="247">(IF($G41=CS$257,$L$250,0))</f>
        <v>0</v>
      </c>
      <c r="CT277" s="469">
        <f t="shared" si="247"/>
        <v>0</v>
      </c>
      <c r="CU277" s="469">
        <f t="shared" si="247"/>
        <v>0</v>
      </c>
      <c r="CV277" s="469">
        <f t="shared" si="247"/>
        <v>0</v>
      </c>
      <c r="CW277" s="469">
        <f t="shared" si="247"/>
        <v>0</v>
      </c>
      <c r="CX277" s="469">
        <f t="shared" si="247"/>
        <v>0</v>
      </c>
      <c r="CY277" s="469">
        <f t="shared" si="247"/>
        <v>0</v>
      </c>
      <c r="CZ277" s="471"/>
      <c r="DA277" s="471"/>
      <c r="DB277" s="469">
        <f t="shared" ref="DB277:DL277" si="248">(IF($G41=DB$257,$L$246,0))</f>
        <v>0</v>
      </c>
      <c r="DC277" s="469">
        <f t="shared" si="248"/>
        <v>0</v>
      </c>
      <c r="DD277" s="469">
        <f t="shared" si="248"/>
        <v>0</v>
      </c>
      <c r="DE277" s="469">
        <f t="shared" si="248"/>
        <v>0</v>
      </c>
      <c r="DF277" s="469">
        <f t="shared" si="248"/>
        <v>0</v>
      </c>
      <c r="DG277" s="469">
        <f t="shared" si="248"/>
        <v>0</v>
      </c>
      <c r="DH277" s="469">
        <f t="shared" si="248"/>
        <v>0</v>
      </c>
      <c r="DI277" s="469">
        <f t="shared" si="248"/>
        <v>0</v>
      </c>
      <c r="DJ277" s="469">
        <f t="shared" si="248"/>
        <v>0</v>
      </c>
      <c r="DK277" s="469">
        <f t="shared" si="248"/>
        <v>0</v>
      </c>
      <c r="DL277" s="469">
        <f t="shared" si="248"/>
        <v>0</v>
      </c>
      <c r="DM277" s="469">
        <f t="shared" ref="DM277:DT277" si="249">(IF($G41=DM$257,$L$246,0))</f>
        <v>0</v>
      </c>
      <c r="DN277" s="469">
        <f t="shared" si="249"/>
        <v>0</v>
      </c>
      <c r="DO277" s="469">
        <f t="shared" si="249"/>
        <v>0</v>
      </c>
      <c r="DP277" s="469">
        <f t="shared" si="249"/>
        <v>0</v>
      </c>
      <c r="DQ277" s="469">
        <f t="shared" si="249"/>
        <v>0</v>
      </c>
      <c r="DR277" s="469">
        <f t="shared" si="249"/>
        <v>0</v>
      </c>
      <c r="DS277" s="469">
        <f t="shared" si="249"/>
        <v>0</v>
      </c>
      <c r="DT277" s="469">
        <f t="shared" si="249"/>
        <v>0</v>
      </c>
      <c r="DU277" s="469"/>
      <c r="DV277" s="469"/>
      <c r="DW277" s="471"/>
      <c r="DX277" s="471"/>
      <c r="DY277" s="474">
        <f t="shared" si="66"/>
        <v>0</v>
      </c>
      <c r="EA277" s="477">
        <f t="shared" si="67"/>
        <v>0</v>
      </c>
      <c r="EG277" s="479">
        <f t="shared" si="46"/>
        <v>9.9999999999999995E-8</v>
      </c>
      <c r="EH277" s="480">
        <f t="shared" si="68"/>
        <v>1500</v>
      </c>
      <c r="EI277" s="480">
        <f t="shared" si="69"/>
        <v>0</v>
      </c>
      <c r="EJ277" s="480">
        <f t="shared" si="70"/>
        <v>0</v>
      </c>
      <c r="EK277" s="480">
        <f t="shared" si="71"/>
        <v>0</v>
      </c>
      <c r="EL277" s="480">
        <f t="shared" si="72"/>
        <v>1500</v>
      </c>
      <c r="EM277" s="480"/>
      <c r="EN277" s="480">
        <f t="shared" si="73"/>
        <v>1500</v>
      </c>
      <c r="EO277" s="655">
        <f t="shared" si="74"/>
        <v>0</v>
      </c>
      <c r="EP277" s="655">
        <f t="shared" si="75"/>
        <v>1500</v>
      </c>
      <c r="EQ277" s="481"/>
      <c r="ER277" s="655">
        <f t="shared" si="76"/>
        <v>1500</v>
      </c>
      <c r="ES277" s="656">
        <f t="shared" si="77"/>
        <v>1500</v>
      </c>
      <c r="ET277" s="656">
        <f t="shared" si="78"/>
        <v>0</v>
      </c>
      <c r="EU277" s="656">
        <f t="shared" si="79"/>
        <v>0</v>
      </c>
      <c r="EV277" s="656">
        <f t="shared" si="80"/>
        <v>1500</v>
      </c>
      <c r="EW277" s="483">
        <f t="shared" si="81"/>
        <v>1500</v>
      </c>
      <c r="EX277" s="398">
        <f t="shared" si="82"/>
        <v>0</v>
      </c>
      <c r="EY277" s="285" t="str">
        <f t="shared" si="47"/>
        <v>X</v>
      </c>
      <c r="EZ277" s="245">
        <f t="shared" si="83"/>
        <v>0</v>
      </c>
      <c r="FA277" s="245">
        <f t="shared" si="84"/>
        <v>0</v>
      </c>
    </row>
    <row r="278" spans="1:157" ht="15" customHeight="1">
      <c r="A278" s="244">
        <f t="shared" si="48"/>
        <v>-0.05</v>
      </c>
      <c r="B278" s="282">
        <v>19</v>
      </c>
      <c r="C278" s="441">
        <f t="shared" si="26"/>
        <v>0</v>
      </c>
      <c r="D278" s="245">
        <f t="shared" si="27"/>
        <v>0</v>
      </c>
      <c r="E278" s="444">
        <f t="shared" si="85"/>
        <v>0</v>
      </c>
      <c r="F278" s="442">
        <f>(PROPOSITION!AA39)+A278</f>
        <v>-0.05</v>
      </c>
      <c r="G278" s="442">
        <f t="shared" si="28"/>
        <v>0</v>
      </c>
      <c r="H278" s="445">
        <f t="shared" si="86"/>
        <v>0</v>
      </c>
      <c r="I278" s="444">
        <f t="shared" si="86"/>
        <v>-0.1</v>
      </c>
      <c r="J278" s="444">
        <f t="shared" si="29"/>
        <v>0</v>
      </c>
      <c r="K278" s="442">
        <f>IF(PROPOSITION!S39="N",-0.2,0)</f>
        <v>0</v>
      </c>
      <c r="L278" s="442">
        <f t="shared" si="87"/>
        <v>0</v>
      </c>
      <c r="N278" s="442">
        <f t="shared" si="88"/>
        <v>0</v>
      </c>
      <c r="O278" s="645">
        <f t="shared" si="49"/>
        <v>0</v>
      </c>
      <c r="P278" s="645">
        <f t="shared" si="50"/>
        <v>0</v>
      </c>
      <c r="Q278" s="442">
        <f t="shared" si="30"/>
        <v>0</v>
      </c>
      <c r="R278" s="444">
        <f t="shared" si="31"/>
        <v>0.2</v>
      </c>
      <c r="S278" s="444">
        <f t="shared" si="89"/>
        <v>0</v>
      </c>
      <c r="T278" s="399">
        <f t="shared" si="32"/>
        <v>0</v>
      </c>
      <c r="U278" s="513">
        <f t="shared" si="51"/>
        <v>0</v>
      </c>
      <c r="V278" s="282"/>
      <c r="W278" s="476">
        <f t="shared" si="52"/>
        <v>4.9999999999999989E-2</v>
      </c>
      <c r="Y278" s="475">
        <f t="shared" si="53"/>
        <v>4.9999999999999989E-2</v>
      </c>
      <c r="Z278" s="475">
        <f t="shared" si="33"/>
        <v>0</v>
      </c>
      <c r="AA278" s="395">
        <v>0</v>
      </c>
      <c r="AB278" s="629">
        <f t="shared" si="54"/>
        <v>0</v>
      </c>
      <c r="AC278" s="612">
        <f>PROPOSITION!Y39</f>
        <v>0</v>
      </c>
      <c r="AD278" s="396">
        <f t="shared" si="55"/>
        <v>0</v>
      </c>
      <c r="AE278" s="396"/>
      <c r="AF278" s="396"/>
      <c r="AH278" s="469">
        <f t="shared" si="34"/>
        <v>0</v>
      </c>
      <c r="AI278" s="469">
        <f t="shared" si="34"/>
        <v>0</v>
      </c>
      <c r="AJ278" s="469">
        <f t="shared" si="34"/>
        <v>0</v>
      </c>
      <c r="AK278" s="469">
        <f t="shared" si="34"/>
        <v>0</v>
      </c>
      <c r="AL278" s="469"/>
      <c r="AM278" s="469"/>
      <c r="AN278" s="469"/>
      <c r="AO278" s="469">
        <f t="shared" ref="AO278:AV278" si="250">(IF($G42=AO$257,$L$244,0))</f>
        <v>0</v>
      </c>
      <c r="AP278" s="469">
        <f t="shared" si="250"/>
        <v>0</v>
      </c>
      <c r="AQ278" s="469">
        <f t="shared" si="250"/>
        <v>0</v>
      </c>
      <c r="AR278" s="469">
        <f t="shared" si="250"/>
        <v>0</v>
      </c>
      <c r="AS278" s="469">
        <f t="shared" si="250"/>
        <v>0</v>
      </c>
      <c r="AT278" s="469">
        <f t="shared" si="250"/>
        <v>0</v>
      </c>
      <c r="AU278" s="469">
        <f t="shared" si="250"/>
        <v>0</v>
      </c>
      <c r="AV278" s="469">
        <f t="shared" si="250"/>
        <v>0</v>
      </c>
      <c r="AW278" s="469">
        <f t="shared" si="36"/>
        <v>0</v>
      </c>
      <c r="AX278" s="469">
        <f t="shared" si="36"/>
        <v>0</v>
      </c>
      <c r="AY278" s="469">
        <f t="shared" si="36"/>
        <v>0</v>
      </c>
      <c r="AZ278" s="469">
        <f t="shared" ref="AZ278:BB278" si="251">(IF($G42=AZ$257,$L$244,0))</f>
        <v>0</v>
      </c>
      <c r="BA278" s="469">
        <f t="shared" si="251"/>
        <v>0</v>
      </c>
      <c r="BB278" s="653">
        <f t="shared" si="251"/>
        <v>0</v>
      </c>
      <c r="BC278" s="653">
        <f t="shared" ref="BC278" si="252">(IF($G42=BC$257,$L$244,0))</f>
        <v>0</v>
      </c>
      <c r="BD278" s="469">
        <f t="shared" ref="BD278:BM278" si="253">(IF($G42=BD$257,$L$248,0))</f>
        <v>0</v>
      </c>
      <c r="BE278" s="469">
        <f t="shared" si="253"/>
        <v>0</v>
      </c>
      <c r="BF278" s="469">
        <f t="shared" si="253"/>
        <v>0</v>
      </c>
      <c r="BG278" s="469">
        <f t="shared" si="253"/>
        <v>0</v>
      </c>
      <c r="BH278" s="469">
        <f t="shared" si="253"/>
        <v>0</v>
      </c>
      <c r="BI278" s="469">
        <f t="shared" si="253"/>
        <v>0</v>
      </c>
      <c r="BJ278" s="469">
        <f t="shared" si="253"/>
        <v>0</v>
      </c>
      <c r="BK278" s="469">
        <f t="shared" si="253"/>
        <v>0</v>
      </c>
      <c r="BL278" s="469">
        <f t="shared" si="253"/>
        <v>0</v>
      </c>
      <c r="BM278" s="469">
        <f t="shared" si="253"/>
        <v>0</v>
      </c>
      <c r="BN278" s="470"/>
      <c r="BO278" s="470"/>
      <c r="BP278" s="469">
        <f t="shared" ref="BP278:BX278" si="254">(IF($G42=BP$257,$L$245,0))</f>
        <v>0</v>
      </c>
      <c r="BQ278" s="469">
        <f t="shared" si="254"/>
        <v>0</v>
      </c>
      <c r="BR278" s="469">
        <f t="shared" si="254"/>
        <v>0</v>
      </c>
      <c r="BS278" s="469">
        <f t="shared" si="254"/>
        <v>0</v>
      </c>
      <c r="BT278" s="469">
        <f t="shared" si="254"/>
        <v>0</v>
      </c>
      <c r="BU278" s="469">
        <f t="shared" si="254"/>
        <v>0</v>
      </c>
      <c r="BV278" s="469">
        <f t="shared" si="254"/>
        <v>0</v>
      </c>
      <c r="BW278" s="469">
        <f t="shared" si="254"/>
        <v>0</v>
      </c>
      <c r="BX278" s="469">
        <f t="shared" si="254"/>
        <v>0</v>
      </c>
      <c r="BY278" s="469">
        <f t="shared" ref="BY278:CJ278" si="255">(IF($G42=BY$257,$L$245,0))</f>
        <v>0</v>
      </c>
      <c r="BZ278" s="469">
        <f t="shared" si="255"/>
        <v>0</v>
      </c>
      <c r="CA278" s="469">
        <f t="shared" si="255"/>
        <v>0</v>
      </c>
      <c r="CB278" s="469">
        <f t="shared" si="255"/>
        <v>0</v>
      </c>
      <c r="CC278" s="469">
        <f t="shared" si="255"/>
        <v>0</v>
      </c>
      <c r="CD278" s="469">
        <f t="shared" si="255"/>
        <v>0</v>
      </c>
      <c r="CE278" s="469">
        <f t="shared" si="255"/>
        <v>0</v>
      </c>
      <c r="CF278" s="469">
        <f t="shared" si="255"/>
        <v>0</v>
      </c>
      <c r="CG278" s="469">
        <f t="shared" si="255"/>
        <v>0</v>
      </c>
      <c r="CH278" s="469">
        <f t="shared" si="255"/>
        <v>0</v>
      </c>
      <c r="CI278" s="469">
        <f t="shared" si="255"/>
        <v>0</v>
      </c>
      <c r="CJ278" s="469">
        <f t="shared" si="255"/>
        <v>0</v>
      </c>
      <c r="CK278" s="469">
        <f t="shared" ref="CK278" si="256">(IF($G42=CK$257,$L$245,0))</f>
        <v>0</v>
      </c>
      <c r="CL278" s="469"/>
      <c r="CM278" s="471"/>
      <c r="CN278" s="469">
        <f t="shared" si="42"/>
        <v>0</v>
      </c>
      <c r="CO278" s="469">
        <f t="shared" si="42"/>
        <v>0</v>
      </c>
      <c r="CP278" s="469">
        <f t="shared" si="42"/>
        <v>0</v>
      </c>
      <c r="CQ278" s="471"/>
      <c r="CR278" s="471"/>
      <c r="CS278" s="469">
        <f t="shared" ref="CS278:CY278" si="257">(IF($G42=CS$257,$L$250,0))</f>
        <v>0</v>
      </c>
      <c r="CT278" s="469">
        <f t="shared" si="257"/>
        <v>0</v>
      </c>
      <c r="CU278" s="469">
        <f t="shared" si="257"/>
        <v>0</v>
      </c>
      <c r="CV278" s="469">
        <f t="shared" si="257"/>
        <v>0</v>
      </c>
      <c r="CW278" s="469">
        <f t="shared" si="257"/>
        <v>0</v>
      </c>
      <c r="CX278" s="469">
        <f t="shared" si="257"/>
        <v>0</v>
      </c>
      <c r="CY278" s="469">
        <f t="shared" si="257"/>
        <v>0</v>
      </c>
      <c r="CZ278" s="471"/>
      <c r="DA278" s="471"/>
      <c r="DB278" s="469">
        <f t="shared" ref="DB278:DL278" si="258">(IF($G42=DB$257,$L$246,0))</f>
        <v>0</v>
      </c>
      <c r="DC278" s="469">
        <f t="shared" si="258"/>
        <v>0</v>
      </c>
      <c r="DD278" s="469">
        <f t="shared" si="258"/>
        <v>0</v>
      </c>
      <c r="DE278" s="469">
        <f t="shared" si="258"/>
        <v>0</v>
      </c>
      <c r="DF278" s="469">
        <f t="shared" si="258"/>
        <v>0</v>
      </c>
      <c r="DG278" s="469">
        <f t="shared" si="258"/>
        <v>0</v>
      </c>
      <c r="DH278" s="469">
        <f t="shared" si="258"/>
        <v>0</v>
      </c>
      <c r="DI278" s="469">
        <f t="shared" si="258"/>
        <v>0</v>
      </c>
      <c r="DJ278" s="469">
        <f t="shared" si="258"/>
        <v>0</v>
      </c>
      <c r="DK278" s="469">
        <f t="shared" si="258"/>
        <v>0</v>
      </c>
      <c r="DL278" s="469">
        <f t="shared" si="258"/>
        <v>0</v>
      </c>
      <c r="DM278" s="469">
        <f t="shared" ref="DM278:DT278" si="259">(IF($G42=DM$257,$L$246,0))</f>
        <v>0</v>
      </c>
      <c r="DN278" s="469">
        <f t="shared" si="259"/>
        <v>0</v>
      </c>
      <c r="DO278" s="469">
        <f t="shared" si="259"/>
        <v>0</v>
      </c>
      <c r="DP278" s="469">
        <f t="shared" si="259"/>
        <v>0</v>
      </c>
      <c r="DQ278" s="469">
        <f t="shared" si="259"/>
        <v>0</v>
      </c>
      <c r="DR278" s="469">
        <f t="shared" si="259"/>
        <v>0</v>
      </c>
      <c r="DS278" s="469">
        <f t="shared" si="259"/>
        <v>0</v>
      </c>
      <c r="DT278" s="469">
        <f t="shared" si="259"/>
        <v>0</v>
      </c>
      <c r="DU278" s="469"/>
      <c r="DV278" s="469"/>
      <c r="DW278" s="471"/>
      <c r="DX278" s="471"/>
      <c r="DY278" s="474">
        <f t="shared" si="66"/>
        <v>0</v>
      </c>
      <c r="EA278" s="477">
        <f t="shared" si="67"/>
        <v>0</v>
      </c>
      <c r="EG278" s="479">
        <f t="shared" si="46"/>
        <v>9.9999999999999995E-8</v>
      </c>
      <c r="EH278" s="480">
        <f t="shared" si="68"/>
        <v>1500</v>
      </c>
      <c r="EI278" s="480">
        <f t="shared" si="69"/>
        <v>0</v>
      </c>
      <c r="EJ278" s="480">
        <f t="shared" si="70"/>
        <v>0</v>
      </c>
      <c r="EK278" s="480">
        <f t="shared" si="71"/>
        <v>0</v>
      </c>
      <c r="EL278" s="480">
        <f t="shared" si="72"/>
        <v>1500</v>
      </c>
      <c r="EM278" s="480"/>
      <c r="EN278" s="480">
        <f t="shared" si="73"/>
        <v>1500</v>
      </c>
      <c r="EO278" s="655">
        <f t="shared" si="74"/>
        <v>0</v>
      </c>
      <c r="EP278" s="655">
        <f t="shared" si="75"/>
        <v>1500</v>
      </c>
      <c r="EQ278" s="481"/>
      <c r="ER278" s="655">
        <f t="shared" si="76"/>
        <v>1500</v>
      </c>
      <c r="ES278" s="656">
        <f t="shared" si="77"/>
        <v>1500</v>
      </c>
      <c r="ET278" s="656">
        <f t="shared" si="78"/>
        <v>0</v>
      </c>
      <c r="EU278" s="656">
        <f t="shared" si="79"/>
        <v>0</v>
      </c>
      <c r="EV278" s="656">
        <f t="shared" si="80"/>
        <v>1500</v>
      </c>
      <c r="EW278" s="483">
        <f t="shared" si="81"/>
        <v>1500</v>
      </c>
      <c r="EX278" s="398">
        <f t="shared" si="82"/>
        <v>0</v>
      </c>
      <c r="EY278" s="285" t="str">
        <f t="shared" si="47"/>
        <v>X</v>
      </c>
      <c r="EZ278" s="245">
        <f t="shared" si="83"/>
        <v>0</v>
      </c>
      <c r="FA278" s="245">
        <f t="shared" si="84"/>
        <v>0</v>
      </c>
    </row>
    <row r="279" spans="1:157" ht="15" customHeight="1">
      <c r="A279" s="244">
        <f t="shared" si="48"/>
        <v>-0.05</v>
      </c>
      <c r="B279" s="282">
        <v>20</v>
      </c>
      <c r="C279" s="441">
        <f t="shared" si="26"/>
        <v>0</v>
      </c>
      <c r="D279" s="245">
        <f t="shared" si="27"/>
        <v>0</v>
      </c>
      <c r="E279" s="444">
        <f t="shared" si="85"/>
        <v>0</v>
      </c>
      <c r="F279" s="442">
        <f>(PROPOSITION!AA40)+A279</f>
        <v>-0.05</v>
      </c>
      <c r="G279" s="442">
        <f t="shared" si="28"/>
        <v>0</v>
      </c>
      <c r="H279" s="445">
        <f t="shared" si="86"/>
        <v>0</v>
      </c>
      <c r="I279" s="444">
        <f t="shared" si="86"/>
        <v>-0.1</v>
      </c>
      <c r="J279" s="444">
        <f t="shared" si="29"/>
        <v>0</v>
      </c>
      <c r="K279" s="442">
        <f>IF(PROPOSITION!S40="N",-0.2,0)</f>
        <v>0</v>
      </c>
      <c r="L279" s="442">
        <f t="shared" si="87"/>
        <v>0</v>
      </c>
      <c r="N279" s="442">
        <f t="shared" si="88"/>
        <v>0</v>
      </c>
      <c r="O279" s="645">
        <f t="shared" si="49"/>
        <v>0</v>
      </c>
      <c r="P279" s="645">
        <f t="shared" si="50"/>
        <v>0</v>
      </c>
      <c r="Q279" s="442">
        <f t="shared" si="30"/>
        <v>0</v>
      </c>
      <c r="R279" s="444">
        <f t="shared" si="31"/>
        <v>0.2</v>
      </c>
      <c r="S279" s="444">
        <f t="shared" si="89"/>
        <v>0</v>
      </c>
      <c r="T279" s="399">
        <f t="shared" si="32"/>
        <v>0</v>
      </c>
      <c r="U279" s="513">
        <f t="shared" si="51"/>
        <v>0</v>
      </c>
      <c r="V279" s="282"/>
      <c r="W279" s="476">
        <f t="shared" si="52"/>
        <v>4.9999999999999989E-2</v>
      </c>
      <c r="Y279" s="475">
        <f t="shared" si="53"/>
        <v>4.9999999999999989E-2</v>
      </c>
      <c r="Z279" s="475">
        <f t="shared" si="33"/>
        <v>0</v>
      </c>
      <c r="AA279" s="395">
        <v>0</v>
      </c>
      <c r="AB279" s="629">
        <f t="shared" si="54"/>
        <v>0</v>
      </c>
      <c r="AC279" s="612">
        <f>PROPOSITION!Y40</f>
        <v>0</v>
      </c>
      <c r="AD279" s="396">
        <f t="shared" si="55"/>
        <v>0</v>
      </c>
      <c r="AE279" s="396"/>
      <c r="AF279" s="396"/>
      <c r="AH279" s="469">
        <f t="shared" si="34"/>
        <v>0</v>
      </c>
      <c r="AI279" s="469">
        <f t="shared" si="34"/>
        <v>0</v>
      </c>
      <c r="AJ279" s="469">
        <f t="shared" si="34"/>
        <v>0</v>
      </c>
      <c r="AK279" s="469">
        <f t="shared" si="34"/>
        <v>0</v>
      </c>
      <c r="AL279" s="469"/>
      <c r="AM279" s="469"/>
      <c r="AN279" s="469"/>
      <c r="AO279" s="469">
        <f t="shared" ref="AO279:AV279" si="260">(IF($G43=AO$257,$L$244,0))</f>
        <v>0</v>
      </c>
      <c r="AP279" s="469">
        <f t="shared" si="260"/>
        <v>0</v>
      </c>
      <c r="AQ279" s="469">
        <f t="shared" si="260"/>
        <v>0</v>
      </c>
      <c r="AR279" s="469">
        <f t="shared" si="260"/>
        <v>0</v>
      </c>
      <c r="AS279" s="469">
        <f t="shared" si="260"/>
        <v>0</v>
      </c>
      <c r="AT279" s="469">
        <f t="shared" si="260"/>
        <v>0</v>
      </c>
      <c r="AU279" s="469">
        <f t="shared" si="260"/>
        <v>0</v>
      </c>
      <c r="AV279" s="469">
        <f t="shared" si="260"/>
        <v>0</v>
      </c>
      <c r="AW279" s="469">
        <f t="shared" si="36"/>
        <v>0</v>
      </c>
      <c r="AX279" s="469">
        <f t="shared" si="36"/>
        <v>0</v>
      </c>
      <c r="AY279" s="469">
        <f t="shared" si="36"/>
        <v>0</v>
      </c>
      <c r="AZ279" s="469">
        <f t="shared" ref="AZ279:BB279" si="261">(IF($G43=AZ$257,$L$244,0))</f>
        <v>0</v>
      </c>
      <c r="BA279" s="469">
        <f t="shared" si="261"/>
        <v>0</v>
      </c>
      <c r="BB279" s="653">
        <f t="shared" si="261"/>
        <v>0</v>
      </c>
      <c r="BC279" s="653">
        <f t="shared" ref="BC279" si="262">(IF($G43=BC$257,$L$244,0))</f>
        <v>0</v>
      </c>
      <c r="BD279" s="469">
        <f t="shared" ref="BD279:BM279" si="263">(IF($G43=BD$257,$L$248,0))</f>
        <v>0</v>
      </c>
      <c r="BE279" s="469">
        <f t="shared" si="263"/>
        <v>0</v>
      </c>
      <c r="BF279" s="469">
        <f t="shared" si="263"/>
        <v>0</v>
      </c>
      <c r="BG279" s="469">
        <f t="shared" si="263"/>
        <v>0</v>
      </c>
      <c r="BH279" s="469">
        <f t="shared" si="263"/>
        <v>0</v>
      </c>
      <c r="BI279" s="469">
        <f t="shared" si="263"/>
        <v>0</v>
      </c>
      <c r="BJ279" s="469">
        <f t="shared" si="263"/>
        <v>0</v>
      </c>
      <c r="BK279" s="469">
        <f t="shared" si="263"/>
        <v>0</v>
      </c>
      <c r="BL279" s="469">
        <f t="shared" si="263"/>
        <v>0</v>
      </c>
      <c r="BM279" s="469">
        <f t="shared" si="263"/>
        <v>0</v>
      </c>
      <c r="BN279" s="470"/>
      <c r="BO279" s="470"/>
      <c r="BP279" s="469">
        <f t="shared" ref="BP279:BX279" si="264">(IF($G43=BP$257,$L$245,0))</f>
        <v>0</v>
      </c>
      <c r="BQ279" s="469">
        <f t="shared" si="264"/>
        <v>0</v>
      </c>
      <c r="BR279" s="469">
        <f t="shared" si="264"/>
        <v>0</v>
      </c>
      <c r="BS279" s="469">
        <f t="shared" si="264"/>
        <v>0</v>
      </c>
      <c r="BT279" s="469">
        <f t="shared" si="264"/>
        <v>0</v>
      </c>
      <c r="BU279" s="469">
        <f t="shared" si="264"/>
        <v>0</v>
      </c>
      <c r="BV279" s="469">
        <f t="shared" si="264"/>
        <v>0</v>
      </c>
      <c r="BW279" s="469">
        <f t="shared" si="264"/>
        <v>0</v>
      </c>
      <c r="BX279" s="469">
        <f t="shared" si="264"/>
        <v>0</v>
      </c>
      <c r="BY279" s="469">
        <f t="shared" ref="BY279:CJ279" si="265">(IF($G43=BY$257,$L$245,0))</f>
        <v>0</v>
      </c>
      <c r="BZ279" s="469">
        <f t="shared" si="265"/>
        <v>0</v>
      </c>
      <c r="CA279" s="469">
        <f t="shared" si="265"/>
        <v>0</v>
      </c>
      <c r="CB279" s="469">
        <f t="shared" si="265"/>
        <v>0</v>
      </c>
      <c r="CC279" s="469">
        <f t="shared" si="265"/>
        <v>0</v>
      </c>
      <c r="CD279" s="469">
        <f t="shared" si="265"/>
        <v>0</v>
      </c>
      <c r="CE279" s="469">
        <f t="shared" si="265"/>
        <v>0</v>
      </c>
      <c r="CF279" s="469">
        <f t="shared" si="265"/>
        <v>0</v>
      </c>
      <c r="CG279" s="469">
        <f t="shared" si="265"/>
        <v>0</v>
      </c>
      <c r="CH279" s="469">
        <f t="shared" si="265"/>
        <v>0</v>
      </c>
      <c r="CI279" s="469">
        <f t="shared" si="265"/>
        <v>0</v>
      </c>
      <c r="CJ279" s="469">
        <f t="shared" si="265"/>
        <v>0</v>
      </c>
      <c r="CK279" s="469">
        <f t="shared" ref="CK279" si="266">(IF($G43=CK$257,$L$245,0))</f>
        <v>0</v>
      </c>
      <c r="CL279" s="469"/>
      <c r="CM279" s="471"/>
      <c r="CN279" s="469">
        <f t="shared" si="42"/>
        <v>0</v>
      </c>
      <c r="CO279" s="469">
        <f t="shared" si="42"/>
        <v>0</v>
      </c>
      <c r="CP279" s="469">
        <f t="shared" si="42"/>
        <v>0</v>
      </c>
      <c r="CQ279" s="471"/>
      <c r="CR279" s="471"/>
      <c r="CS279" s="469">
        <f t="shared" ref="CS279:CY279" si="267">(IF($G43=CS$257,$L$250,0))</f>
        <v>0</v>
      </c>
      <c r="CT279" s="469">
        <f t="shared" si="267"/>
        <v>0</v>
      </c>
      <c r="CU279" s="469">
        <f t="shared" si="267"/>
        <v>0</v>
      </c>
      <c r="CV279" s="469">
        <f t="shared" si="267"/>
        <v>0</v>
      </c>
      <c r="CW279" s="469">
        <f t="shared" si="267"/>
        <v>0</v>
      </c>
      <c r="CX279" s="469">
        <f t="shared" si="267"/>
        <v>0</v>
      </c>
      <c r="CY279" s="469">
        <f t="shared" si="267"/>
        <v>0</v>
      </c>
      <c r="CZ279" s="471"/>
      <c r="DA279" s="471"/>
      <c r="DB279" s="469">
        <f t="shared" ref="DB279:DL279" si="268">(IF($G43=DB$257,$L$246,0))</f>
        <v>0</v>
      </c>
      <c r="DC279" s="469">
        <f t="shared" si="268"/>
        <v>0</v>
      </c>
      <c r="DD279" s="469">
        <f t="shared" si="268"/>
        <v>0</v>
      </c>
      <c r="DE279" s="469">
        <f t="shared" si="268"/>
        <v>0</v>
      </c>
      <c r="DF279" s="469">
        <f t="shared" si="268"/>
        <v>0</v>
      </c>
      <c r="DG279" s="469">
        <f t="shared" si="268"/>
        <v>0</v>
      </c>
      <c r="DH279" s="469">
        <f t="shared" si="268"/>
        <v>0</v>
      </c>
      <c r="DI279" s="469">
        <f t="shared" si="268"/>
        <v>0</v>
      </c>
      <c r="DJ279" s="469">
        <f t="shared" si="268"/>
        <v>0</v>
      </c>
      <c r="DK279" s="469">
        <f t="shared" si="268"/>
        <v>0</v>
      </c>
      <c r="DL279" s="469">
        <f t="shared" si="268"/>
        <v>0</v>
      </c>
      <c r="DM279" s="469">
        <f t="shared" ref="DM279:DT279" si="269">(IF($G43=DM$257,$L$246,0))</f>
        <v>0</v>
      </c>
      <c r="DN279" s="469">
        <f t="shared" si="269"/>
        <v>0</v>
      </c>
      <c r="DO279" s="469">
        <f t="shared" si="269"/>
        <v>0</v>
      </c>
      <c r="DP279" s="469">
        <f t="shared" si="269"/>
        <v>0</v>
      </c>
      <c r="DQ279" s="469">
        <f t="shared" si="269"/>
        <v>0</v>
      </c>
      <c r="DR279" s="469">
        <f t="shared" si="269"/>
        <v>0</v>
      </c>
      <c r="DS279" s="469">
        <f t="shared" si="269"/>
        <v>0</v>
      </c>
      <c r="DT279" s="469">
        <f t="shared" si="269"/>
        <v>0</v>
      </c>
      <c r="DU279" s="469"/>
      <c r="DV279" s="469"/>
      <c r="DW279" s="471"/>
      <c r="DX279" s="471"/>
      <c r="DY279" s="474">
        <f t="shared" si="66"/>
        <v>0</v>
      </c>
      <c r="EA279" s="477">
        <f t="shared" si="67"/>
        <v>0</v>
      </c>
      <c r="EG279" s="479">
        <f t="shared" si="46"/>
        <v>9.9999999999999995E-8</v>
      </c>
      <c r="EH279" s="480">
        <f t="shared" si="68"/>
        <v>1500</v>
      </c>
      <c r="EI279" s="480">
        <f t="shared" si="69"/>
        <v>0</v>
      </c>
      <c r="EJ279" s="480">
        <f t="shared" si="70"/>
        <v>0</v>
      </c>
      <c r="EK279" s="480">
        <f t="shared" si="71"/>
        <v>0</v>
      </c>
      <c r="EL279" s="480">
        <f t="shared" si="72"/>
        <v>1500</v>
      </c>
      <c r="EM279" s="480"/>
      <c r="EN279" s="480">
        <f t="shared" si="73"/>
        <v>1500</v>
      </c>
      <c r="EO279" s="655">
        <f t="shared" si="74"/>
        <v>0</v>
      </c>
      <c r="EP279" s="655">
        <f t="shared" si="75"/>
        <v>1500</v>
      </c>
      <c r="EQ279" s="481"/>
      <c r="ER279" s="655">
        <f t="shared" si="76"/>
        <v>1500</v>
      </c>
      <c r="ES279" s="656">
        <f t="shared" si="77"/>
        <v>1500</v>
      </c>
      <c r="ET279" s="656">
        <f t="shared" si="78"/>
        <v>0</v>
      </c>
      <c r="EU279" s="656">
        <f t="shared" si="79"/>
        <v>0</v>
      </c>
      <c r="EV279" s="656">
        <f t="shared" si="80"/>
        <v>1500</v>
      </c>
      <c r="EW279" s="483">
        <f t="shared" si="81"/>
        <v>1500</v>
      </c>
      <c r="EX279" s="398">
        <f t="shared" si="82"/>
        <v>0</v>
      </c>
      <c r="EY279" s="285" t="str">
        <f t="shared" si="47"/>
        <v>X</v>
      </c>
      <c r="EZ279" s="245">
        <f t="shared" si="83"/>
        <v>0</v>
      </c>
      <c r="FA279" s="245">
        <f t="shared" si="84"/>
        <v>0</v>
      </c>
    </row>
    <row r="280" spans="1:157" ht="15" customHeight="1">
      <c r="A280" s="244">
        <f t="shared" si="48"/>
        <v>-0.05</v>
      </c>
      <c r="B280" s="282">
        <v>21</v>
      </c>
      <c r="C280" s="441">
        <f t="shared" si="26"/>
        <v>0</v>
      </c>
      <c r="D280" s="245">
        <f t="shared" si="27"/>
        <v>0</v>
      </c>
      <c r="E280" s="444">
        <f t="shared" si="85"/>
        <v>0</v>
      </c>
      <c r="F280" s="442">
        <f>(PROPOSITION!AA41)+A280</f>
        <v>-0.05</v>
      </c>
      <c r="G280" s="442">
        <f t="shared" si="28"/>
        <v>0</v>
      </c>
      <c r="H280" s="445">
        <f t="shared" si="86"/>
        <v>0</v>
      </c>
      <c r="I280" s="444">
        <f t="shared" si="86"/>
        <v>-0.1</v>
      </c>
      <c r="J280" s="444">
        <f t="shared" si="29"/>
        <v>0</v>
      </c>
      <c r="K280" s="442">
        <f>IF(PROPOSITION!S41="N",-0.2,0)</f>
        <v>0</v>
      </c>
      <c r="L280" s="442">
        <f t="shared" si="87"/>
        <v>0</v>
      </c>
      <c r="N280" s="442">
        <f t="shared" si="88"/>
        <v>0</v>
      </c>
      <c r="O280" s="645">
        <f t="shared" si="49"/>
        <v>0</v>
      </c>
      <c r="P280" s="645">
        <f t="shared" si="50"/>
        <v>0</v>
      </c>
      <c r="Q280" s="442">
        <f t="shared" si="30"/>
        <v>0</v>
      </c>
      <c r="R280" s="444">
        <f t="shared" si="31"/>
        <v>0.2</v>
      </c>
      <c r="S280" s="444">
        <f t="shared" si="89"/>
        <v>0</v>
      </c>
      <c r="T280" s="399">
        <f t="shared" si="32"/>
        <v>0</v>
      </c>
      <c r="U280" s="513">
        <f t="shared" si="51"/>
        <v>0</v>
      </c>
      <c r="V280" s="282"/>
      <c r="W280" s="476">
        <f t="shared" si="52"/>
        <v>4.9999999999999989E-2</v>
      </c>
      <c r="Y280" s="475">
        <f t="shared" si="53"/>
        <v>4.9999999999999989E-2</v>
      </c>
      <c r="Z280" s="475">
        <f t="shared" si="33"/>
        <v>0</v>
      </c>
      <c r="AA280" s="395">
        <v>0</v>
      </c>
      <c r="AB280" s="629">
        <f t="shared" si="54"/>
        <v>0</v>
      </c>
      <c r="AC280" s="612">
        <f>PROPOSITION!Y41</f>
        <v>0</v>
      </c>
      <c r="AD280" s="396">
        <f t="shared" si="55"/>
        <v>0</v>
      </c>
      <c r="AE280" s="396"/>
      <c r="AF280" s="396"/>
      <c r="AH280" s="469">
        <f t="shared" si="34"/>
        <v>0</v>
      </c>
      <c r="AI280" s="469">
        <f t="shared" si="34"/>
        <v>0</v>
      </c>
      <c r="AJ280" s="469">
        <f t="shared" si="34"/>
        <v>0</v>
      </c>
      <c r="AK280" s="469">
        <f t="shared" si="34"/>
        <v>0</v>
      </c>
      <c r="AL280" s="469"/>
      <c r="AM280" s="469"/>
      <c r="AN280" s="469"/>
      <c r="AO280" s="469">
        <f t="shared" ref="AO280:AV280" si="270">(IF($G44=AO$257,$L$244,0))</f>
        <v>0</v>
      </c>
      <c r="AP280" s="469">
        <f t="shared" si="270"/>
        <v>0</v>
      </c>
      <c r="AQ280" s="469">
        <f t="shared" si="270"/>
        <v>0</v>
      </c>
      <c r="AR280" s="469">
        <f t="shared" si="270"/>
        <v>0</v>
      </c>
      <c r="AS280" s="469">
        <f t="shared" si="270"/>
        <v>0</v>
      </c>
      <c r="AT280" s="469">
        <f t="shared" si="270"/>
        <v>0</v>
      </c>
      <c r="AU280" s="469">
        <f t="shared" si="270"/>
        <v>0</v>
      </c>
      <c r="AV280" s="469">
        <f t="shared" si="270"/>
        <v>0</v>
      </c>
      <c r="AW280" s="469">
        <f t="shared" si="36"/>
        <v>0</v>
      </c>
      <c r="AX280" s="469">
        <f t="shared" si="36"/>
        <v>0</v>
      </c>
      <c r="AY280" s="469">
        <f t="shared" si="36"/>
        <v>0</v>
      </c>
      <c r="AZ280" s="469">
        <f t="shared" ref="AZ280:BB280" si="271">(IF($G44=AZ$257,$L$244,0))</f>
        <v>0</v>
      </c>
      <c r="BA280" s="469">
        <f t="shared" si="271"/>
        <v>0</v>
      </c>
      <c r="BB280" s="653">
        <f t="shared" si="271"/>
        <v>0</v>
      </c>
      <c r="BC280" s="653">
        <f t="shared" ref="BC280" si="272">(IF($G44=BC$257,$L$244,0))</f>
        <v>0</v>
      </c>
      <c r="BD280" s="469">
        <f t="shared" ref="BD280:BM280" si="273">(IF($G44=BD$257,$L$248,0))</f>
        <v>0</v>
      </c>
      <c r="BE280" s="469">
        <f t="shared" si="273"/>
        <v>0</v>
      </c>
      <c r="BF280" s="469">
        <f t="shared" si="273"/>
        <v>0</v>
      </c>
      <c r="BG280" s="469">
        <f t="shared" si="273"/>
        <v>0</v>
      </c>
      <c r="BH280" s="469">
        <f t="shared" si="273"/>
        <v>0</v>
      </c>
      <c r="BI280" s="469">
        <f t="shared" si="273"/>
        <v>0</v>
      </c>
      <c r="BJ280" s="469">
        <f t="shared" si="273"/>
        <v>0</v>
      </c>
      <c r="BK280" s="469">
        <f t="shared" si="273"/>
        <v>0</v>
      </c>
      <c r="BL280" s="469">
        <f t="shared" si="273"/>
        <v>0</v>
      </c>
      <c r="BM280" s="469">
        <f t="shared" si="273"/>
        <v>0</v>
      </c>
      <c r="BN280" s="470"/>
      <c r="BO280" s="470"/>
      <c r="BP280" s="469">
        <f t="shared" ref="BP280:BX280" si="274">(IF($G44=BP$257,$L$245,0))</f>
        <v>0</v>
      </c>
      <c r="BQ280" s="469">
        <f t="shared" si="274"/>
        <v>0</v>
      </c>
      <c r="BR280" s="469">
        <f t="shared" si="274"/>
        <v>0</v>
      </c>
      <c r="BS280" s="469">
        <f t="shared" si="274"/>
        <v>0</v>
      </c>
      <c r="BT280" s="469">
        <f t="shared" si="274"/>
        <v>0</v>
      </c>
      <c r="BU280" s="469">
        <f t="shared" si="274"/>
        <v>0</v>
      </c>
      <c r="BV280" s="469">
        <f t="shared" si="274"/>
        <v>0</v>
      </c>
      <c r="BW280" s="469">
        <f t="shared" si="274"/>
        <v>0</v>
      </c>
      <c r="BX280" s="469">
        <f t="shared" si="274"/>
        <v>0</v>
      </c>
      <c r="BY280" s="469">
        <f t="shared" ref="BY280:CJ280" si="275">(IF($G44=BY$257,$L$245,0))</f>
        <v>0</v>
      </c>
      <c r="BZ280" s="469">
        <f t="shared" si="275"/>
        <v>0</v>
      </c>
      <c r="CA280" s="469">
        <f t="shared" si="275"/>
        <v>0</v>
      </c>
      <c r="CB280" s="469">
        <f t="shared" si="275"/>
        <v>0</v>
      </c>
      <c r="CC280" s="469">
        <f t="shared" si="275"/>
        <v>0</v>
      </c>
      <c r="CD280" s="469">
        <f t="shared" si="275"/>
        <v>0</v>
      </c>
      <c r="CE280" s="469">
        <f t="shared" si="275"/>
        <v>0</v>
      </c>
      <c r="CF280" s="469">
        <f t="shared" si="275"/>
        <v>0</v>
      </c>
      <c r="CG280" s="469">
        <f t="shared" si="275"/>
        <v>0</v>
      </c>
      <c r="CH280" s="469">
        <f t="shared" si="275"/>
        <v>0</v>
      </c>
      <c r="CI280" s="469">
        <f t="shared" si="275"/>
        <v>0</v>
      </c>
      <c r="CJ280" s="469">
        <f t="shared" si="275"/>
        <v>0</v>
      </c>
      <c r="CK280" s="469">
        <f t="shared" ref="CK280" si="276">(IF($G44=CK$257,$L$245,0))</f>
        <v>0</v>
      </c>
      <c r="CL280" s="469"/>
      <c r="CM280" s="471"/>
      <c r="CN280" s="469">
        <f t="shared" si="42"/>
        <v>0</v>
      </c>
      <c r="CO280" s="469">
        <f t="shared" si="42"/>
        <v>0</v>
      </c>
      <c r="CP280" s="469">
        <f t="shared" si="42"/>
        <v>0</v>
      </c>
      <c r="CQ280" s="471"/>
      <c r="CR280" s="471"/>
      <c r="CS280" s="469">
        <f t="shared" ref="CS280:CY280" si="277">(IF($G44=CS$257,$L$250,0))</f>
        <v>0</v>
      </c>
      <c r="CT280" s="469">
        <f t="shared" si="277"/>
        <v>0</v>
      </c>
      <c r="CU280" s="469">
        <f t="shared" si="277"/>
        <v>0</v>
      </c>
      <c r="CV280" s="469">
        <f t="shared" si="277"/>
        <v>0</v>
      </c>
      <c r="CW280" s="469">
        <f t="shared" si="277"/>
        <v>0</v>
      </c>
      <c r="CX280" s="469">
        <f t="shared" si="277"/>
        <v>0</v>
      </c>
      <c r="CY280" s="469">
        <f t="shared" si="277"/>
        <v>0</v>
      </c>
      <c r="CZ280" s="471"/>
      <c r="DA280" s="471"/>
      <c r="DB280" s="469">
        <f t="shared" ref="DB280:DL280" si="278">(IF($G44=DB$257,$L$246,0))</f>
        <v>0</v>
      </c>
      <c r="DC280" s="469">
        <f t="shared" si="278"/>
        <v>0</v>
      </c>
      <c r="DD280" s="469">
        <f t="shared" si="278"/>
        <v>0</v>
      </c>
      <c r="DE280" s="469">
        <f t="shared" si="278"/>
        <v>0</v>
      </c>
      <c r="DF280" s="469">
        <f t="shared" si="278"/>
        <v>0</v>
      </c>
      <c r="DG280" s="469">
        <f t="shared" si="278"/>
        <v>0</v>
      </c>
      <c r="DH280" s="469">
        <f t="shared" si="278"/>
        <v>0</v>
      </c>
      <c r="DI280" s="469">
        <f t="shared" si="278"/>
        <v>0</v>
      </c>
      <c r="DJ280" s="469">
        <f t="shared" si="278"/>
        <v>0</v>
      </c>
      <c r="DK280" s="469">
        <f t="shared" si="278"/>
        <v>0</v>
      </c>
      <c r="DL280" s="469">
        <f t="shared" si="278"/>
        <v>0</v>
      </c>
      <c r="DM280" s="469">
        <f t="shared" ref="DM280:DT280" si="279">(IF($G44=DM$257,$L$246,0))</f>
        <v>0</v>
      </c>
      <c r="DN280" s="469">
        <f t="shared" si="279"/>
        <v>0</v>
      </c>
      <c r="DO280" s="469">
        <f t="shared" si="279"/>
        <v>0</v>
      </c>
      <c r="DP280" s="469">
        <f t="shared" si="279"/>
        <v>0</v>
      </c>
      <c r="DQ280" s="469">
        <f t="shared" si="279"/>
        <v>0</v>
      </c>
      <c r="DR280" s="469">
        <f t="shared" si="279"/>
        <v>0</v>
      </c>
      <c r="DS280" s="469">
        <f t="shared" si="279"/>
        <v>0</v>
      </c>
      <c r="DT280" s="469">
        <f t="shared" si="279"/>
        <v>0</v>
      </c>
      <c r="DU280" s="469"/>
      <c r="DV280" s="469"/>
      <c r="DW280" s="471"/>
      <c r="DX280" s="471"/>
      <c r="DY280" s="474">
        <f t="shared" si="66"/>
        <v>0</v>
      </c>
      <c r="EA280" s="477">
        <f t="shared" si="67"/>
        <v>0</v>
      </c>
      <c r="EG280" s="479">
        <f t="shared" si="46"/>
        <v>9.9999999999999995E-8</v>
      </c>
      <c r="EH280" s="480">
        <f t="shared" si="68"/>
        <v>1500</v>
      </c>
      <c r="EI280" s="480">
        <f t="shared" si="69"/>
        <v>0</v>
      </c>
      <c r="EJ280" s="480">
        <f t="shared" si="70"/>
        <v>0</v>
      </c>
      <c r="EK280" s="480">
        <f t="shared" si="71"/>
        <v>0</v>
      </c>
      <c r="EL280" s="480">
        <f t="shared" si="72"/>
        <v>1500</v>
      </c>
      <c r="EM280" s="480"/>
      <c r="EN280" s="480">
        <f t="shared" si="73"/>
        <v>1500</v>
      </c>
      <c r="EO280" s="655">
        <f t="shared" si="74"/>
        <v>0</v>
      </c>
      <c r="EP280" s="655">
        <f t="shared" si="75"/>
        <v>1500</v>
      </c>
      <c r="EQ280" s="481"/>
      <c r="ER280" s="655">
        <f t="shared" si="76"/>
        <v>1500</v>
      </c>
      <c r="ES280" s="656">
        <f t="shared" si="77"/>
        <v>1500</v>
      </c>
      <c r="ET280" s="656">
        <f t="shared" si="78"/>
        <v>0</v>
      </c>
      <c r="EU280" s="656">
        <f t="shared" si="79"/>
        <v>0</v>
      </c>
      <c r="EV280" s="656">
        <f t="shared" si="80"/>
        <v>1500</v>
      </c>
      <c r="EW280" s="483">
        <f t="shared" si="81"/>
        <v>1500</v>
      </c>
      <c r="EX280" s="398">
        <f t="shared" si="82"/>
        <v>0</v>
      </c>
      <c r="EY280" s="285" t="str">
        <f t="shared" si="47"/>
        <v>X</v>
      </c>
      <c r="EZ280" s="245">
        <f t="shared" si="83"/>
        <v>0</v>
      </c>
      <c r="FA280" s="245">
        <f t="shared" si="84"/>
        <v>0</v>
      </c>
    </row>
    <row r="281" spans="1:157" ht="15" customHeight="1">
      <c r="A281" s="244">
        <f t="shared" si="48"/>
        <v>-0.05</v>
      </c>
      <c r="B281" s="282">
        <v>22</v>
      </c>
      <c r="C281" s="441">
        <f t="shared" si="26"/>
        <v>0</v>
      </c>
      <c r="D281" s="245">
        <f t="shared" si="27"/>
        <v>0</v>
      </c>
      <c r="E281" s="444">
        <f t="shared" si="85"/>
        <v>0</v>
      </c>
      <c r="F281" s="442">
        <f>(PROPOSITION!AA42)+A281</f>
        <v>-0.05</v>
      </c>
      <c r="G281" s="442">
        <f t="shared" si="28"/>
        <v>0</v>
      </c>
      <c r="H281" s="445">
        <f t="shared" si="86"/>
        <v>0</v>
      </c>
      <c r="I281" s="444">
        <f t="shared" si="86"/>
        <v>-0.1</v>
      </c>
      <c r="J281" s="444">
        <f t="shared" si="29"/>
        <v>0</v>
      </c>
      <c r="K281" s="442">
        <f>IF(PROPOSITION!S42="N",-0.2,0)</f>
        <v>0</v>
      </c>
      <c r="L281" s="442">
        <f t="shared" si="87"/>
        <v>0</v>
      </c>
      <c r="N281" s="442">
        <f t="shared" si="88"/>
        <v>0</v>
      </c>
      <c r="O281" s="645">
        <f t="shared" si="49"/>
        <v>0</v>
      </c>
      <c r="P281" s="645">
        <f t="shared" si="50"/>
        <v>0</v>
      </c>
      <c r="Q281" s="442">
        <f t="shared" si="30"/>
        <v>0</v>
      </c>
      <c r="R281" s="444">
        <f t="shared" si="31"/>
        <v>0.2</v>
      </c>
      <c r="S281" s="444">
        <f t="shared" si="89"/>
        <v>0</v>
      </c>
      <c r="T281" s="399">
        <f t="shared" si="32"/>
        <v>0</v>
      </c>
      <c r="U281" s="513">
        <f t="shared" si="51"/>
        <v>0</v>
      </c>
      <c r="V281" s="282"/>
      <c r="W281" s="476">
        <f t="shared" si="52"/>
        <v>4.9999999999999989E-2</v>
      </c>
      <c r="Y281" s="475">
        <f t="shared" si="53"/>
        <v>4.9999999999999989E-2</v>
      </c>
      <c r="Z281" s="475">
        <f t="shared" si="33"/>
        <v>0</v>
      </c>
      <c r="AA281" s="395">
        <v>0</v>
      </c>
      <c r="AB281" s="629">
        <f t="shared" si="54"/>
        <v>0</v>
      </c>
      <c r="AC281" s="612">
        <f>PROPOSITION!Y42</f>
        <v>0</v>
      </c>
      <c r="AD281" s="396">
        <f t="shared" si="55"/>
        <v>0</v>
      </c>
      <c r="AE281" s="396"/>
      <c r="AF281" s="396"/>
      <c r="AH281" s="469">
        <f t="shared" si="34"/>
        <v>0</v>
      </c>
      <c r="AI281" s="469">
        <f t="shared" si="34"/>
        <v>0</v>
      </c>
      <c r="AJ281" s="469">
        <f t="shared" si="34"/>
        <v>0</v>
      </c>
      <c r="AK281" s="469">
        <f t="shared" si="34"/>
        <v>0</v>
      </c>
      <c r="AL281" s="469"/>
      <c r="AM281" s="469"/>
      <c r="AN281" s="469"/>
      <c r="AO281" s="469">
        <f t="shared" ref="AO281:AV281" si="280">(IF($G45=AO$257,$L$244,0))</f>
        <v>0</v>
      </c>
      <c r="AP281" s="469">
        <f t="shared" si="280"/>
        <v>0</v>
      </c>
      <c r="AQ281" s="469">
        <f t="shared" si="280"/>
        <v>0</v>
      </c>
      <c r="AR281" s="469">
        <f t="shared" si="280"/>
        <v>0</v>
      </c>
      <c r="AS281" s="469">
        <f t="shared" si="280"/>
        <v>0</v>
      </c>
      <c r="AT281" s="469">
        <f t="shared" si="280"/>
        <v>0</v>
      </c>
      <c r="AU281" s="469">
        <f t="shared" si="280"/>
        <v>0</v>
      </c>
      <c r="AV281" s="469">
        <f t="shared" si="280"/>
        <v>0</v>
      </c>
      <c r="AW281" s="469">
        <f t="shared" si="36"/>
        <v>0</v>
      </c>
      <c r="AX281" s="469">
        <f t="shared" si="36"/>
        <v>0</v>
      </c>
      <c r="AY281" s="469">
        <f t="shared" si="36"/>
        <v>0</v>
      </c>
      <c r="AZ281" s="469">
        <f t="shared" ref="AZ281:BB281" si="281">(IF($G45=AZ$257,$L$244,0))</f>
        <v>0</v>
      </c>
      <c r="BA281" s="469">
        <f t="shared" si="281"/>
        <v>0</v>
      </c>
      <c r="BB281" s="653">
        <f t="shared" si="281"/>
        <v>0</v>
      </c>
      <c r="BC281" s="653">
        <f t="shared" ref="BC281" si="282">(IF($G45=BC$257,$L$244,0))</f>
        <v>0</v>
      </c>
      <c r="BD281" s="469">
        <f t="shared" ref="BD281:BM281" si="283">(IF($G45=BD$257,$L$248,0))</f>
        <v>0</v>
      </c>
      <c r="BE281" s="469">
        <f t="shared" si="283"/>
        <v>0</v>
      </c>
      <c r="BF281" s="469">
        <f t="shared" si="283"/>
        <v>0</v>
      </c>
      <c r="BG281" s="469">
        <f t="shared" si="283"/>
        <v>0</v>
      </c>
      <c r="BH281" s="469">
        <f t="shared" si="283"/>
        <v>0</v>
      </c>
      <c r="BI281" s="469">
        <f t="shared" si="283"/>
        <v>0</v>
      </c>
      <c r="BJ281" s="469">
        <f t="shared" si="283"/>
        <v>0</v>
      </c>
      <c r="BK281" s="469">
        <f t="shared" si="283"/>
        <v>0</v>
      </c>
      <c r="BL281" s="469">
        <f t="shared" si="283"/>
        <v>0</v>
      </c>
      <c r="BM281" s="469">
        <f t="shared" si="283"/>
        <v>0</v>
      </c>
      <c r="BN281" s="470"/>
      <c r="BO281" s="470"/>
      <c r="BP281" s="469">
        <f t="shared" ref="BP281:BX281" si="284">(IF($G45=BP$257,$L$245,0))</f>
        <v>0</v>
      </c>
      <c r="BQ281" s="469">
        <f t="shared" si="284"/>
        <v>0</v>
      </c>
      <c r="BR281" s="469">
        <f t="shared" si="284"/>
        <v>0</v>
      </c>
      <c r="BS281" s="469">
        <f t="shared" si="284"/>
        <v>0</v>
      </c>
      <c r="BT281" s="469">
        <f t="shared" si="284"/>
        <v>0</v>
      </c>
      <c r="BU281" s="469">
        <f t="shared" si="284"/>
        <v>0</v>
      </c>
      <c r="BV281" s="469">
        <f t="shared" si="284"/>
        <v>0</v>
      </c>
      <c r="BW281" s="469">
        <f t="shared" si="284"/>
        <v>0</v>
      </c>
      <c r="BX281" s="469">
        <f t="shared" si="284"/>
        <v>0</v>
      </c>
      <c r="BY281" s="469">
        <f t="shared" ref="BY281:CJ281" si="285">(IF($G45=BY$257,$L$245,0))</f>
        <v>0</v>
      </c>
      <c r="BZ281" s="469">
        <f t="shared" si="285"/>
        <v>0</v>
      </c>
      <c r="CA281" s="469">
        <f t="shared" si="285"/>
        <v>0</v>
      </c>
      <c r="CB281" s="469">
        <f t="shared" si="285"/>
        <v>0</v>
      </c>
      <c r="CC281" s="469">
        <f t="shared" si="285"/>
        <v>0</v>
      </c>
      <c r="CD281" s="469">
        <f t="shared" si="285"/>
        <v>0</v>
      </c>
      <c r="CE281" s="469">
        <f t="shared" si="285"/>
        <v>0</v>
      </c>
      <c r="CF281" s="469">
        <f t="shared" si="285"/>
        <v>0</v>
      </c>
      <c r="CG281" s="469">
        <f t="shared" si="285"/>
        <v>0</v>
      </c>
      <c r="CH281" s="469">
        <f t="shared" si="285"/>
        <v>0</v>
      </c>
      <c r="CI281" s="469">
        <f t="shared" si="285"/>
        <v>0</v>
      </c>
      <c r="CJ281" s="469">
        <f t="shared" si="285"/>
        <v>0</v>
      </c>
      <c r="CK281" s="469">
        <f t="shared" ref="CK281" si="286">(IF($G45=CK$257,$L$245,0))</f>
        <v>0</v>
      </c>
      <c r="CL281" s="469"/>
      <c r="CM281" s="471"/>
      <c r="CN281" s="469">
        <f t="shared" si="42"/>
        <v>0</v>
      </c>
      <c r="CO281" s="469">
        <f t="shared" si="42"/>
        <v>0</v>
      </c>
      <c r="CP281" s="469">
        <f t="shared" si="42"/>
        <v>0</v>
      </c>
      <c r="CQ281" s="471"/>
      <c r="CR281" s="471"/>
      <c r="CS281" s="469">
        <f t="shared" ref="CS281:CY281" si="287">(IF($G45=CS$257,$L$250,0))</f>
        <v>0</v>
      </c>
      <c r="CT281" s="469">
        <f t="shared" si="287"/>
        <v>0</v>
      </c>
      <c r="CU281" s="469">
        <f t="shared" si="287"/>
        <v>0</v>
      </c>
      <c r="CV281" s="469">
        <f t="shared" si="287"/>
        <v>0</v>
      </c>
      <c r="CW281" s="469">
        <f t="shared" si="287"/>
        <v>0</v>
      </c>
      <c r="CX281" s="469">
        <f t="shared" si="287"/>
        <v>0</v>
      </c>
      <c r="CY281" s="469">
        <f t="shared" si="287"/>
        <v>0</v>
      </c>
      <c r="CZ281" s="471"/>
      <c r="DA281" s="471"/>
      <c r="DB281" s="469">
        <f t="shared" ref="DB281:DL281" si="288">(IF($G45=DB$257,$L$246,0))</f>
        <v>0</v>
      </c>
      <c r="DC281" s="469">
        <f t="shared" si="288"/>
        <v>0</v>
      </c>
      <c r="DD281" s="469">
        <f t="shared" si="288"/>
        <v>0</v>
      </c>
      <c r="DE281" s="469">
        <f t="shared" si="288"/>
        <v>0</v>
      </c>
      <c r="DF281" s="469">
        <f t="shared" si="288"/>
        <v>0</v>
      </c>
      <c r="DG281" s="469">
        <f t="shared" si="288"/>
        <v>0</v>
      </c>
      <c r="DH281" s="469">
        <f t="shared" si="288"/>
        <v>0</v>
      </c>
      <c r="DI281" s="469">
        <f t="shared" si="288"/>
        <v>0</v>
      </c>
      <c r="DJ281" s="469">
        <f t="shared" si="288"/>
        <v>0</v>
      </c>
      <c r="DK281" s="469">
        <f t="shared" si="288"/>
        <v>0</v>
      </c>
      <c r="DL281" s="469">
        <f t="shared" si="288"/>
        <v>0</v>
      </c>
      <c r="DM281" s="469">
        <f t="shared" ref="DM281:DT281" si="289">(IF($G45=DM$257,$L$246,0))</f>
        <v>0</v>
      </c>
      <c r="DN281" s="469">
        <f t="shared" si="289"/>
        <v>0</v>
      </c>
      <c r="DO281" s="469">
        <f t="shared" si="289"/>
        <v>0</v>
      </c>
      <c r="DP281" s="469">
        <f t="shared" si="289"/>
        <v>0</v>
      </c>
      <c r="DQ281" s="469">
        <f t="shared" si="289"/>
        <v>0</v>
      </c>
      <c r="DR281" s="469">
        <f t="shared" si="289"/>
        <v>0</v>
      </c>
      <c r="DS281" s="469">
        <f t="shared" si="289"/>
        <v>0</v>
      </c>
      <c r="DT281" s="469">
        <f t="shared" si="289"/>
        <v>0</v>
      </c>
      <c r="DU281" s="469"/>
      <c r="DV281" s="469"/>
      <c r="DW281" s="471"/>
      <c r="DX281" s="471"/>
      <c r="DY281" s="474">
        <f t="shared" si="66"/>
        <v>0</v>
      </c>
      <c r="EA281" s="477">
        <f t="shared" si="67"/>
        <v>0</v>
      </c>
      <c r="EG281" s="479">
        <f t="shared" si="46"/>
        <v>9.9999999999999995E-8</v>
      </c>
      <c r="EH281" s="480">
        <f t="shared" si="68"/>
        <v>1500</v>
      </c>
      <c r="EI281" s="480">
        <f t="shared" si="69"/>
        <v>0</v>
      </c>
      <c r="EJ281" s="480">
        <f t="shared" si="70"/>
        <v>0</v>
      </c>
      <c r="EK281" s="480">
        <f t="shared" si="71"/>
        <v>0</v>
      </c>
      <c r="EL281" s="480">
        <f t="shared" si="72"/>
        <v>1500</v>
      </c>
      <c r="EM281" s="480"/>
      <c r="EN281" s="480">
        <f t="shared" si="73"/>
        <v>1500</v>
      </c>
      <c r="EO281" s="655">
        <f t="shared" si="74"/>
        <v>0</v>
      </c>
      <c r="EP281" s="655">
        <f t="shared" si="75"/>
        <v>1500</v>
      </c>
      <c r="EQ281" s="481"/>
      <c r="ER281" s="655">
        <f t="shared" si="76"/>
        <v>1500</v>
      </c>
      <c r="ES281" s="656">
        <f t="shared" si="77"/>
        <v>1500</v>
      </c>
      <c r="ET281" s="656">
        <f t="shared" si="78"/>
        <v>0</v>
      </c>
      <c r="EU281" s="656">
        <f t="shared" si="79"/>
        <v>0</v>
      </c>
      <c r="EV281" s="656">
        <f t="shared" si="80"/>
        <v>1500</v>
      </c>
      <c r="EW281" s="483">
        <f t="shared" si="81"/>
        <v>1500</v>
      </c>
      <c r="EX281" s="398">
        <f t="shared" si="82"/>
        <v>0</v>
      </c>
      <c r="EY281" s="285" t="str">
        <f t="shared" si="47"/>
        <v>X</v>
      </c>
      <c r="EZ281" s="245">
        <f t="shared" si="83"/>
        <v>0</v>
      </c>
      <c r="FA281" s="245">
        <f t="shared" si="84"/>
        <v>0</v>
      </c>
    </row>
    <row r="282" spans="1:157" ht="15" customHeight="1">
      <c r="A282" s="244">
        <f t="shared" si="48"/>
        <v>-0.05</v>
      </c>
      <c r="B282" s="282">
        <v>23</v>
      </c>
      <c r="C282" s="441">
        <f t="shared" si="26"/>
        <v>0</v>
      </c>
      <c r="D282" s="245">
        <f t="shared" si="27"/>
        <v>0</v>
      </c>
      <c r="E282" s="444">
        <f t="shared" si="85"/>
        <v>0</v>
      </c>
      <c r="F282" s="442">
        <f>(PROPOSITION!AA43)+A282</f>
        <v>-0.05</v>
      </c>
      <c r="G282" s="442">
        <f t="shared" si="28"/>
        <v>0</v>
      </c>
      <c r="H282" s="445">
        <f t="shared" si="86"/>
        <v>0</v>
      </c>
      <c r="I282" s="444">
        <f t="shared" si="86"/>
        <v>-0.1</v>
      </c>
      <c r="J282" s="444">
        <f t="shared" si="29"/>
        <v>0</v>
      </c>
      <c r="K282" s="442">
        <f>IF(PROPOSITION!S43="N",-0.2,0)</f>
        <v>0</v>
      </c>
      <c r="L282" s="442">
        <f t="shared" si="87"/>
        <v>0</v>
      </c>
      <c r="N282" s="442">
        <f t="shared" si="88"/>
        <v>0</v>
      </c>
      <c r="O282" s="645">
        <f t="shared" si="49"/>
        <v>0</v>
      </c>
      <c r="P282" s="645">
        <f t="shared" si="50"/>
        <v>0</v>
      </c>
      <c r="Q282" s="442">
        <f t="shared" si="30"/>
        <v>0</v>
      </c>
      <c r="R282" s="444">
        <f t="shared" si="31"/>
        <v>0.2</v>
      </c>
      <c r="S282" s="444">
        <f t="shared" si="89"/>
        <v>0</v>
      </c>
      <c r="T282" s="399">
        <f t="shared" si="32"/>
        <v>0</v>
      </c>
      <c r="U282" s="513">
        <f t="shared" si="51"/>
        <v>0</v>
      </c>
      <c r="V282" s="282"/>
      <c r="W282" s="476">
        <f t="shared" si="52"/>
        <v>4.9999999999999989E-2</v>
      </c>
      <c r="Y282" s="475">
        <f t="shared" si="53"/>
        <v>4.9999999999999989E-2</v>
      </c>
      <c r="Z282" s="475">
        <f t="shared" si="33"/>
        <v>0</v>
      </c>
      <c r="AA282" s="395">
        <v>0</v>
      </c>
      <c r="AB282" s="629">
        <f t="shared" si="54"/>
        <v>0</v>
      </c>
      <c r="AC282" s="612">
        <f>PROPOSITION!Y43</f>
        <v>0</v>
      </c>
      <c r="AD282" s="396">
        <f t="shared" si="55"/>
        <v>0</v>
      </c>
      <c r="AE282" s="396"/>
      <c r="AF282" s="396"/>
      <c r="AH282" s="469">
        <f t="shared" si="34"/>
        <v>0</v>
      </c>
      <c r="AI282" s="469">
        <f t="shared" si="34"/>
        <v>0</v>
      </c>
      <c r="AJ282" s="469">
        <f t="shared" si="34"/>
        <v>0</v>
      </c>
      <c r="AK282" s="469">
        <f t="shared" si="34"/>
        <v>0</v>
      </c>
      <c r="AL282" s="469"/>
      <c r="AM282" s="469"/>
      <c r="AN282" s="469"/>
      <c r="AO282" s="469">
        <f t="shared" ref="AO282:AV282" si="290">(IF($G46=AO$257,$L$244,0))</f>
        <v>0</v>
      </c>
      <c r="AP282" s="469">
        <f t="shared" si="290"/>
        <v>0</v>
      </c>
      <c r="AQ282" s="469">
        <f t="shared" si="290"/>
        <v>0</v>
      </c>
      <c r="AR282" s="469">
        <f t="shared" si="290"/>
        <v>0</v>
      </c>
      <c r="AS282" s="469">
        <f t="shared" si="290"/>
        <v>0</v>
      </c>
      <c r="AT282" s="469">
        <f t="shared" si="290"/>
        <v>0</v>
      </c>
      <c r="AU282" s="469">
        <f t="shared" si="290"/>
        <v>0</v>
      </c>
      <c r="AV282" s="469">
        <f t="shared" si="290"/>
        <v>0</v>
      </c>
      <c r="AW282" s="469">
        <f t="shared" si="36"/>
        <v>0</v>
      </c>
      <c r="AX282" s="469">
        <f t="shared" si="36"/>
        <v>0</v>
      </c>
      <c r="AY282" s="469">
        <f t="shared" si="36"/>
        <v>0</v>
      </c>
      <c r="AZ282" s="469">
        <f t="shared" ref="AZ282:BB282" si="291">(IF($G46=AZ$257,$L$244,0))</f>
        <v>0</v>
      </c>
      <c r="BA282" s="469">
        <f t="shared" si="291"/>
        <v>0</v>
      </c>
      <c r="BB282" s="653">
        <f t="shared" si="291"/>
        <v>0</v>
      </c>
      <c r="BC282" s="653">
        <f t="shared" ref="BC282" si="292">(IF($G46=BC$257,$L$244,0))</f>
        <v>0</v>
      </c>
      <c r="BD282" s="469">
        <f t="shared" ref="BD282:BM282" si="293">(IF($G46=BD$257,$L$248,0))</f>
        <v>0</v>
      </c>
      <c r="BE282" s="469">
        <f t="shared" si="293"/>
        <v>0</v>
      </c>
      <c r="BF282" s="469">
        <f t="shared" si="293"/>
        <v>0</v>
      </c>
      <c r="BG282" s="469">
        <f t="shared" si="293"/>
        <v>0</v>
      </c>
      <c r="BH282" s="469">
        <f t="shared" si="293"/>
        <v>0</v>
      </c>
      <c r="BI282" s="469">
        <f t="shared" si="293"/>
        <v>0</v>
      </c>
      <c r="BJ282" s="469">
        <f t="shared" si="293"/>
        <v>0</v>
      </c>
      <c r="BK282" s="469">
        <f t="shared" si="293"/>
        <v>0</v>
      </c>
      <c r="BL282" s="469">
        <f t="shared" si="293"/>
        <v>0</v>
      </c>
      <c r="BM282" s="469">
        <f t="shared" si="293"/>
        <v>0</v>
      </c>
      <c r="BN282" s="470"/>
      <c r="BO282" s="470"/>
      <c r="BP282" s="469">
        <f t="shared" ref="BP282:BX282" si="294">(IF($G46=BP$257,$L$245,0))</f>
        <v>0</v>
      </c>
      <c r="BQ282" s="469">
        <f t="shared" si="294"/>
        <v>0</v>
      </c>
      <c r="BR282" s="469">
        <f t="shared" si="294"/>
        <v>0</v>
      </c>
      <c r="BS282" s="469">
        <f t="shared" si="294"/>
        <v>0</v>
      </c>
      <c r="BT282" s="469">
        <f t="shared" si="294"/>
        <v>0</v>
      </c>
      <c r="BU282" s="469">
        <f t="shared" si="294"/>
        <v>0</v>
      </c>
      <c r="BV282" s="469">
        <f t="shared" si="294"/>
        <v>0</v>
      </c>
      <c r="BW282" s="469">
        <f t="shared" si="294"/>
        <v>0</v>
      </c>
      <c r="BX282" s="469">
        <f t="shared" si="294"/>
        <v>0</v>
      </c>
      <c r="BY282" s="469">
        <f t="shared" ref="BY282:CJ282" si="295">(IF($G46=BY$257,$L$245,0))</f>
        <v>0</v>
      </c>
      <c r="BZ282" s="469">
        <f t="shared" si="295"/>
        <v>0</v>
      </c>
      <c r="CA282" s="469">
        <f t="shared" si="295"/>
        <v>0</v>
      </c>
      <c r="CB282" s="469">
        <f t="shared" si="295"/>
        <v>0</v>
      </c>
      <c r="CC282" s="469">
        <f t="shared" si="295"/>
        <v>0</v>
      </c>
      <c r="CD282" s="469">
        <f t="shared" si="295"/>
        <v>0</v>
      </c>
      <c r="CE282" s="469">
        <f t="shared" si="295"/>
        <v>0</v>
      </c>
      <c r="CF282" s="469">
        <f t="shared" si="295"/>
        <v>0</v>
      </c>
      <c r="CG282" s="469">
        <f t="shared" si="295"/>
        <v>0</v>
      </c>
      <c r="CH282" s="469">
        <f t="shared" si="295"/>
        <v>0</v>
      </c>
      <c r="CI282" s="469">
        <f t="shared" si="295"/>
        <v>0</v>
      </c>
      <c r="CJ282" s="469">
        <f t="shared" si="295"/>
        <v>0</v>
      </c>
      <c r="CK282" s="469">
        <f t="shared" ref="CK282" si="296">(IF($G46=CK$257,$L$245,0))</f>
        <v>0</v>
      </c>
      <c r="CL282" s="469"/>
      <c r="CM282" s="471"/>
      <c r="CN282" s="469">
        <f t="shared" si="42"/>
        <v>0</v>
      </c>
      <c r="CO282" s="469">
        <f t="shared" si="42"/>
        <v>0</v>
      </c>
      <c r="CP282" s="469">
        <f t="shared" si="42"/>
        <v>0</v>
      </c>
      <c r="CQ282" s="471"/>
      <c r="CR282" s="471"/>
      <c r="CS282" s="469">
        <f t="shared" ref="CS282:CY282" si="297">(IF($G46=CS$257,$L$250,0))</f>
        <v>0</v>
      </c>
      <c r="CT282" s="469">
        <f t="shared" si="297"/>
        <v>0</v>
      </c>
      <c r="CU282" s="469">
        <f t="shared" si="297"/>
        <v>0</v>
      </c>
      <c r="CV282" s="469">
        <f t="shared" si="297"/>
        <v>0</v>
      </c>
      <c r="CW282" s="469">
        <f t="shared" si="297"/>
        <v>0</v>
      </c>
      <c r="CX282" s="469">
        <f t="shared" si="297"/>
        <v>0</v>
      </c>
      <c r="CY282" s="469">
        <f t="shared" si="297"/>
        <v>0</v>
      </c>
      <c r="CZ282" s="471"/>
      <c r="DA282" s="471"/>
      <c r="DB282" s="469">
        <f t="shared" ref="DB282:DL282" si="298">(IF($G46=DB$257,$L$246,0))</f>
        <v>0</v>
      </c>
      <c r="DC282" s="469">
        <f t="shared" si="298"/>
        <v>0</v>
      </c>
      <c r="DD282" s="469">
        <f t="shared" si="298"/>
        <v>0</v>
      </c>
      <c r="DE282" s="469">
        <f t="shared" si="298"/>
        <v>0</v>
      </c>
      <c r="DF282" s="469">
        <f t="shared" si="298"/>
        <v>0</v>
      </c>
      <c r="DG282" s="469">
        <f t="shared" si="298"/>
        <v>0</v>
      </c>
      <c r="DH282" s="469">
        <f t="shared" si="298"/>
        <v>0</v>
      </c>
      <c r="DI282" s="469">
        <f t="shared" si="298"/>
        <v>0</v>
      </c>
      <c r="DJ282" s="469">
        <f t="shared" si="298"/>
        <v>0</v>
      </c>
      <c r="DK282" s="469">
        <f t="shared" si="298"/>
        <v>0</v>
      </c>
      <c r="DL282" s="469">
        <f t="shared" si="298"/>
        <v>0</v>
      </c>
      <c r="DM282" s="469">
        <f t="shared" ref="DM282:DT282" si="299">(IF($G46=DM$257,$L$246,0))</f>
        <v>0</v>
      </c>
      <c r="DN282" s="469">
        <f t="shared" si="299"/>
        <v>0</v>
      </c>
      <c r="DO282" s="469">
        <f t="shared" si="299"/>
        <v>0</v>
      </c>
      <c r="DP282" s="469">
        <f t="shared" si="299"/>
        <v>0</v>
      </c>
      <c r="DQ282" s="469">
        <f t="shared" si="299"/>
        <v>0</v>
      </c>
      <c r="DR282" s="469">
        <f t="shared" si="299"/>
        <v>0</v>
      </c>
      <c r="DS282" s="469">
        <f t="shared" si="299"/>
        <v>0</v>
      </c>
      <c r="DT282" s="469">
        <f t="shared" si="299"/>
        <v>0</v>
      </c>
      <c r="DU282" s="469"/>
      <c r="DV282" s="469"/>
      <c r="DW282" s="471"/>
      <c r="DX282" s="471"/>
      <c r="DY282" s="474">
        <f t="shared" si="66"/>
        <v>0</v>
      </c>
      <c r="EA282" s="477">
        <f t="shared" si="67"/>
        <v>0</v>
      </c>
      <c r="EG282" s="479">
        <f t="shared" si="46"/>
        <v>9.9999999999999995E-8</v>
      </c>
      <c r="EH282" s="480">
        <f t="shared" si="68"/>
        <v>1500</v>
      </c>
      <c r="EI282" s="480">
        <f t="shared" si="69"/>
        <v>0</v>
      </c>
      <c r="EJ282" s="480">
        <f t="shared" si="70"/>
        <v>0</v>
      </c>
      <c r="EK282" s="480">
        <f t="shared" si="71"/>
        <v>0</v>
      </c>
      <c r="EL282" s="480">
        <f t="shared" si="72"/>
        <v>1500</v>
      </c>
      <c r="EM282" s="480"/>
      <c r="EN282" s="480">
        <f t="shared" si="73"/>
        <v>1500</v>
      </c>
      <c r="EO282" s="655">
        <f t="shared" si="74"/>
        <v>0</v>
      </c>
      <c r="EP282" s="655">
        <f t="shared" si="75"/>
        <v>1500</v>
      </c>
      <c r="EQ282" s="481"/>
      <c r="ER282" s="655">
        <f t="shared" si="76"/>
        <v>1500</v>
      </c>
      <c r="ES282" s="656">
        <f t="shared" si="77"/>
        <v>1500</v>
      </c>
      <c r="ET282" s="656">
        <f t="shared" si="78"/>
        <v>0</v>
      </c>
      <c r="EU282" s="656">
        <f t="shared" si="79"/>
        <v>0</v>
      </c>
      <c r="EV282" s="656">
        <f t="shared" si="80"/>
        <v>1500</v>
      </c>
      <c r="EW282" s="483">
        <f t="shared" si="81"/>
        <v>1500</v>
      </c>
      <c r="EX282" s="398">
        <f t="shared" si="82"/>
        <v>0</v>
      </c>
      <c r="EY282" s="285" t="str">
        <f t="shared" si="47"/>
        <v>X</v>
      </c>
      <c r="EZ282" s="245">
        <f t="shared" si="83"/>
        <v>0</v>
      </c>
      <c r="FA282" s="245">
        <f t="shared" si="84"/>
        <v>0</v>
      </c>
    </row>
    <row r="283" spans="1:157" ht="15" customHeight="1">
      <c r="A283" s="244">
        <f t="shared" si="48"/>
        <v>-0.05</v>
      </c>
      <c r="B283" s="282">
        <v>24</v>
      </c>
      <c r="C283" s="441">
        <f t="shared" si="26"/>
        <v>0</v>
      </c>
      <c r="D283" s="245">
        <f t="shared" si="27"/>
        <v>0</v>
      </c>
      <c r="E283" s="444">
        <f t="shared" si="85"/>
        <v>0</v>
      </c>
      <c r="F283" s="442">
        <f>(PROPOSITION!AA44)+A283</f>
        <v>-0.05</v>
      </c>
      <c r="G283" s="442">
        <f t="shared" si="28"/>
        <v>0</v>
      </c>
      <c r="H283" s="445">
        <f t="shared" si="86"/>
        <v>0</v>
      </c>
      <c r="I283" s="444">
        <f t="shared" si="86"/>
        <v>-0.1</v>
      </c>
      <c r="J283" s="444">
        <f t="shared" si="29"/>
        <v>0</v>
      </c>
      <c r="K283" s="442">
        <f>IF(PROPOSITION!S44="N",-0.2,0)</f>
        <v>0</v>
      </c>
      <c r="L283" s="442">
        <f t="shared" si="87"/>
        <v>0</v>
      </c>
      <c r="N283" s="442">
        <f t="shared" si="88"/>
        <v>0</v>
      </c>
      <c r="O283" s="645">
        <f t="shared" si="49"/>
        <v>0</v>
      </c>
      <c r="P283" s="645">
        <f t="shared" si="50"/>
        <v>0</v>
      </c>
      <c r="Q283" s="442">
        <f t="shared" si="30"/>
        <v>0</v>
      </c>
      <c r="R283" s="444">
        <f t="shared" si="31"/>
        <v>0.2</v>
      </c>
      <c r="S283" s="444">
        <f t="shared" si="89"/>
        <v>0</v>
      </c>
      <c r="T283" s="399">
        <f t="shared" si="32"/>
        <v>0</v>
      </c>
      <c r="U283" s="513">
        <f t="shared" si="51"/>
        <v>0</v>
      </c>
      <c r="V283" s="282"/>
      <c r="W283" s="476">
        <f t="shared" si="52"/>
        <v>4.9999999999999989E-2</v>
      </c>
      <c r="Y283" s="475">
        <f t="shared" si="53"/>
        <v>4.9999999999999989E-2</v>
      </c>
      <c r="Z283" s="475">
        <f t="shared" si="33"/>
        <v>0</v>
      </c>
      <c r="AA283" s="395">
        <v>0</v>
      </c>
      <c r="AB283" s="629">
        <f t="shared" si="54"/>
        <v>0</v>
      </c>
      <c r="AC283" s="612">
        <f>PROPOSITION!Y44</f>
        <v>0</v>
      </c>
      <c r="AD283" s="396">
        <f t="shared" si="55"/>
        <v>0</v>
      </c>
      <c r="AE283" s="396"/>
      <c r="AF283" s="396"/>
      <c r="AH283" s="469">
        <f t="shared" si="34"/>
        <v>0</v>
      </c>
      <c r="AI283" s="469">
        <f t="shared" si="34"/>
        <v>0</v>
      </c>
      <c r="AJ283" s="469">
        <f t="shared" si="34"/>
        <v>0</v>
      </c>
      <c r="AK283" s="469">
        <f t="shared" si="34"/>
        <v>0</v>
      </c>
      <c r="AL283" s="469"/>
      <c r="AM283" s="469"/>
      <c r="AN283" s="469"/>
      <c r="AO283" s="469">
        <f t="shared" ref="AO283:AV283" si="300">(IF($G47=AO$257,$L$244,0))</f>
        <v>0</v>
      </c>
      <c r="AP283" s="469">
        <f t="shared" si="300"/>
        <v>0</v>
      </c>
      <c r="AQ283" s="469">
        <f t="shared" si="300"/>
        <v>0</v>
      </c>
      <c r="AR283" s="469">
        <f t="shared" si="300"/>
        <v>0</v>
      </c>
      <c r="AS283" s="469">
        <f t="shared" si="300"/>
        <v>0</v>
      </c>
      <c r="AT283" s="469">
        <f t="shared" si="300"/>
        <v>0</v>
      </c>
      <c r="AU283" s="469">
        <f t="shared" si="300"/>
        <v>0</v>
      </c>
      <c r="AV283" s="469">
        <f t="shared" si="300"/>
        <v>0</v>
      </c>
      <c r="AW283" s="469">
        <f t="shared" si="36"/>
        <v>0</v>
      </c>
      <c r="AX283" s="469">
        <f t="shared" si="36"/>
        <v>0</v>
      </c>
      <c r="AY283" s="469">
        <f t="shared" si="36"/>
        <v>0</v>
      </c>
      <c r="AZ283" s="469">
        <f t="shared" ref="AZ283:BB283" si="301">(IF($G47=AZ$257,$L$244,0))</f>
        <v>0</v>
      </c>
      <c r="BA283" s="469">
        <f t="shared" si="301"/>
        <v>0</v>
      </c>
      <c r="BB283" s="653">
        <f t="shared" si="301"/>
        <v>0</v>
      </c>
      <c r="BC283" s="653">
        <f t="shared" ref="BC283" si="302">(IF($G47=BC$257,$L$244,0))</f>
        <v>0</v>
      </c>
      <c r="BD283" s="469">
        <f t="shared" ref="BD283:BM283" si="303">(IF($G47=BD$257,$L$248,0))</f>
        <v>0</v>
      </c>
      <c r="BE283" s="469">
        <f t="shared" si="303"/>
        <v>0</v>
      </c>
      <c r="BF283" s="469">
        <f t="shared" si="303"/>
        <v>0</v>
      </c>
      <c r="BG283" s="469">
        <f t="shared" si="303"/>
        <v>0</v>
      </c>
      <c r="BH283" s="469">
        <f t="shared" si="303"/>
        <v>0</v>
      </c>
      <c r="BI283" s="469">
        <f t="shared" si="303"/>
        <v>0</v>
      </c>
      <c r="BJ283" s="469">
        <f t="shared" si="303"/>
        <v>0</v>
      </c>
      <c r="BK283" s="469">
        <f t="shared" si="303"/>
        <v>0</v>
      </c>
      <c r="BL283" s="469">
        <f t="shared" si="303"/>
        <v>0</v>
      </c>
      <c r="BM283" s="469">
        <f t="shared" si="303"/>
        <v>0</v>
      </c>
      <c r="BN283" s="470"/>
      <c r="BO283" s="470"/>
      <c r="BP283" s="469">
        <f t="shared" ref="BP283:BX283" si="304">(IF($G47=BP$257,$L$245,0))</f>
        <v>0</v>
      </c>
      <c r="BQ283" s="469">
        <f t="shared" si="304"/>
        <v>0</v>
      </c>
      <c r="BR283" s="469">
        <f t="shared" si="304"/>
        <v>0</v>
      </c>
      <c r="BS283" s="469">
        <f t="shared" si="304"/>
        <v>0</v>
      </c>
      <c r="BT283" s="469">
        <f t="shared" si="304"/>
        <v>0</v>
      </c>
      <c r="BU283" s="469">
        <f t="shared" si="304"/>
        <v>0</v>
      </c>
      <c r="BV283" s="469">
        <f t="shared" si="304"/>
        <v>0</v>
      </c>
      <c r="BW283" s="469">
        <f t="shared" si="304"/>
        <v>0</v>
      </c>
      <c r="BX283" s="469">
        <f t="shared" si="304"/>
        <v>0</v>
      </c>
      <c r="BY283" s="469">
        <f t="shared" ref="BY283:CJ283" si="305">(IF($G47=BY$257,$L$245,0))</f>
        <v>0</v>
      </c>
      <c r="BZ283" s="469">
        <f t="shared" si="305"/>
        <v>0</v>
      </c>
      <c r="CA283" s="469">
        <f t="shared" si="305"/>
        <v>0</v>
      </c>
      <c r="CB283" s="469">
        <f t="shared" si="305"/>
        <v>0</v>
      </c>
      <c r="CC283" s="469">
        <f t="shared" si="305"/>
        <v>0</v>
      </c>
      <c r="CD283" s="469">
        <f t="shared" si="305"/>
        <v>0</v>
      </c>
      <c r="CE283" s="469">
        <f t="shared" si="305"/>
        <v>0</v>
      </c>
      <c r="CF283" s="469">
        <f t="shared" si="305"/>
        <v>0</v>
      </c>
      <c r="CG283" s="469">
        <f t="shared" si="305"/>
        <v>0</v>
      </c>
      <c r="CH283" s="469">
        <f t="shared" si="305"/>
        <v>0</v>
      </c>
      <c r="CI283" s="469">
        <f t="shared" si="305"/>
        <v>0</v>
      </c>
      <c r="CJ283" s="469">
        <f t="shared" si="305"/>
        <v>0</v>
      </c>
      <c r="CK283" s="469">
        <f t="shared" ref="CK283" si="306">(IF($G47=CK$257,$L$245,0))</f>
        <v>0</v>
      </c>
      <c r="CL283" s="469"/>
      <c r="CM283" s="471"/>
      <c r="CN283" s="469">
        <f t="shared" si="42"/>
        <v>0</v>
      </c>
      <c r="CO283" s="469">
        <f t="shared" si="42"/>
        <v>0</v>
      </c>
      <c r="CP283" s="469">
        <f t="shared" si="42"/>
        <v>0</v>
      </c>
      <c r="CQ283" s="471"/>
      <c r="CR283" s="471"/>
      <c r="CS283" s="469">
        <f t="shared" ref="CS283:CY283" si="307">(IF($G47=CS$257,$L$250,0))</f>
        <v>0</v>
      </c>
      <c r="CT283" s="469">
        <f t="shared" si="307"/>
        <v>0</v>
      </c>
      <c r="CU283" s="469">
        <f t="shared" si="307"/>
        <v>0</v>
      </c>
      <c r="CV283" s="469">
        <f t="shared" si="307"/>
        <v>0</v>
      </c>
      <c r="CW283" s="469">
        <f t="shared" si="307"/>
        <v>0</v>
      </c>
      <c r="CX283" s="469">
        <f t="shared" si="307"/>
        <v>0</v>
      </c>
      <c r="CY283" s="469">
        <f t="shared" si="307"/>
        <v>0</v>
      </c>
      <c r="CZ283" s="471"/>
      <c r="DA283" s="471"/>
      <c r="DB283" s="469">
        <f t="shared" ref="DB283:DL283" si="308">(IF($G47=DB$257,$L$246,0))</f>
        <v>0</v>
      </c>
      <c r="DC283" s="469">
        <f t="shared" si="308"/>
        <v>0</v>
      </c>
      <c r="DD283" s="469">
        <f t="shared" si="308"/>
        <v>0</v>
      </c>
      <c r="DE283" s="469">
        <f t="shared" si="308"/>
        <v>0</v>
      </c>
      <c r="DF283" s="469">
        <f t="shared" si="308"/>
        <v>0</v>
      </c>
      <c r="DG283" s="469">
        <f t="shared" si="308"/>
        <v>0</v>
      </c>
      <c r="DH283" s="469">
        <f t="shared" si="308"/>
        <v>0</v>
      </c>
      <c r="DI283" s="469">
        <f t="shared" si="308"/>
        <v>0</v>
      </c>
      <c r="DJ283" s="469">
        <f t="shared" si="308"/>
        <v>0</v>
      </c>
      <c r="DK283" s="469">
        <f t="shared" si="308"/>
        <v>0</v>
      </c>
      <c r="DL283" s="469">
        <f t="shared" si="308"/>
        <v>0</v>
      </c>
      <c r="DM283" s="469">
        <f t="shared" ref="DM283:DT283" si="309">(IF($G47=DM$257,$L$246,0))</f>
        <v>0</v>
      </c>
      <c r="DN283" s="469">
        <f t="shared" si="309"/>
        <v>0</v>
      </c>
      <c r="DO283" s="469">
        <f t="shared" si="309"/>
        <v>0</v>
      </c>
      <c r="DP283" s="469">
        <f t="shared" si="309"/>
        <v>0</v>
      </c>
      <c r="DQ283" s="469">
        <f t="shared" si="309"/>
        <v>0</v>
      </c>
      <c r="DR283" s="469">
        <f t="shared" si="309"/>
        <v>0</v>
      </c>
      <c r="DS283" s="469">
        <f t="shared" si="309"/>
        <v>0</v>
      </c>
      <c r="DT283" s="469">
        <f t="shared" si="309"/>
        <v>0</v>
      </c>
      <c r="DU283" s="469"/>
      <c r="DV283" s="469"/>
      <c r="DW283" s="471"/>
      <c r="DX283" s="471"/>
      <c r="DY283" s="474">
        <f t="shared" si="66"/>
        <v>0</v>
      </c>
      <c r="EA283" s="477">
        <f t="shared" si="67"/>
        <v>0</v>
      </c>
      <c r="EG283" s="479">
        <f t="shared" si="46"/>
        <v>9.9999999999999995E-8</v>
      </c>
      <c r="EH283" s="480">
        <f t="shared" si="68"/>
        <v>1500</v>
      </c>
      <c r="EI283" s="480">
        <f t="shared" si="69"/>
        <v>0</v>
      </c>
      <c r="EJ283" s="480">
        <f t="shared" si="70"/>
        <v>0</v>
      </c>
      <c r="EK283" s="480">
        <f t="shared" si="71"/>
        <v>0</v>
      </c>
      <c r="EL283" s="480">
        <f t="shared" si="72"/>
        <v>1500</v>
      </c>
      <c r="EM283" s="480"/>
      <c r="EN283" s="480">
        <f t="shared" si="73"/>
        <v>1500</v>
      </c>
      <c r="EO283" s="655">
        <f t="shared" si="74"/>
        <v>0</v>
      </c>
      <c r="EP283" s="655">
        <f t="shared" si="75"/>
        <v>1500</v>
      </c>
      <c r="EQ283" s="481"/>
      <c r="ER283" s="655">
        <f t="shared" si="76"/>
        <v>1500</v>
      </c>
      <c r="ES283" s="656">
        <f t="shared" si="77"/>
        <v>1500</v>
      </c>
      <c r="ET283" s="656">
        <f t="shared" si="78"/>
        <v>0</v>
      </c>
      <c r="EU283" s="656">
        <f t="shared" si="79"/>
        <v>0</v>
      </c>
      <c r="EV283" s="656">
        <f t="shared" si="80"/>
        <v>1500</v>
      </c>
      <c r="EW283" s="483">
        <f t="shared" si="81"/>
        <v>1500</v>
      </c>
      <c r="EX283" s="398">
        <f t="shared" si="82"/>
        <v>0</v>
      </c>
      <c r="EY283" s="285" t="str">
        <f t="shared" si="47"/>
        <v>X</v>
      </c>
      <c r="EZ283" s="245">
        <f t="shared" si="83"/>
        <v>0</v>
      </c>
      <c r="FA283" s="245">
        <f t="shared" si="84"/>
        <v>0</v>
      </c>
    </row>
    <row r="284" spans="1:157" ht="15" customHeight="1">
      <c r="A284" s="244">
        <f t="shared" si="48"/>
        <v>-0.05</v>
      </c>
      <c r="B284" s="282">
        <v>25</v>
      </c>
      <c r="C284" s="441">
        <f t="shared" si="26"/>
        <v>0</v>
      </c>
      <c r="D284" s="245">
        <f t="shared" si="27"/>
        <v>0</v>
      </c>
      <c r="E284" s="444">
        <f t="shared" si="85"/>
        <v>0</v>
      </c>
      <c r="F284" s="442">
        <f>(PROPOSITION!AA45)+A284</f>
        <v>-0.05</v>
      </c>
      <c r="G284" s="442">
        <f t="shared" si="28"/>
        <v>0</v>
      </c>
      <c r="H284" s="445">
        <f t="shared" si="86"/>
        <v>0</v>
      </c>
      <c r="I284" s="444">
        <f t="shared" si="86"/>
        <v>-0.1</v>
      </c>
      <c r="J284" s="444">
        <f t="shared" si="29"/>
        <v>0</v>
      </c>
      <c r="K284" s="442">
        <f>IF(PROPOSITION!S45="N",-0.2,0)</f>
        <v>0</v>
      </c>
      <c r="L284" s="442">
        <f t="shared" si="87"/>
        <v>0</v>
      </c>
      <c r="N284" s="442">
        <f t="shared" si="88"/>
        <v>0</v>
      </c>
      <c r="O284" s="645">
        <f t="shared" si="49"/>
        <v>0</v>
      </c>
      <c r="P284" s="645">
        <f t="shared" si="50"/>
        <v>0</v>
      </c>
      <c r="Q284" s="442">
        <f t="shared" si="30"/>
        <v>0</v>
      </c>
      <c r="R284" s="444">
        <f t="shared" si="31"/>
        <v>0.2</v>
      </c>
      <c r="S284" s="444">
        <f t="shared" si="89"/>
        <v>0</v>
      </c>
      <c r="T284" s="399">
        <f t="shared" si="32"/>
        <v>0</v>
      </c>
      <c r="U284" s="513">
        <f t="shared" si="51"/>
        <v>0</v>
      </c>
      <c r="V284" s="282"/>
      <c r="W284" s="476">
        <f t="shared" si="52"/>
        <v>4.9999999999999989E-2</v>
      </c>
      <c r="Y284" s="475">
        <f t="shared" si="53"/>
        <v>4.9999999999999989E-2</v>
      </c>
      <c r="Z284" s="475">
        <f t="shared" si="33"/>
        <v>0</v>
      </c>
      <c r="AA284" s="395">
        <f>EA284*$AN$250</f>
        <v>0</v>
      </c>
      <c r="AB284" s="629">
        <f t="shared" si="54"/>
        <v>0</v>
      </c>
      <c r="AC284" s="612">
        <f>PROPOSITION!Y45</f>
        <v>0</v>
      </c>
      <c r="AD284" s="396">
        <f t="shared" si="55"/>
        <v>0</v>
      </c>
      <c r="AE284" s="396"/>
      <c r="AF284" s="396"/>
      <c r="AH284" s="469">
        <f t="shared" si="34"/>
        <v>0</v>
      </c>
      <c r="AI284" s="469">
        <f t="shared" si="34"/>
        <v>0</v>
      </c>
      <c r="AJ284" s="469">
        <f t="shared" si="34"/>
        <v>0</v>
      </c>
      <c r="AK284" s="469">
        <f t="shared" si="34"/>
        <v>0</v>
      </c>
      <c r="AL284" s="469"/>
      <c r="AM284" s="469"/>
      <c r="AN284" s="469"/>
      <c r="AO284" s="469">
        <f t="shared" ref="AO284:AV284" si="310">(IF($G48=AO$257,$L$244,0))</f>
        <v>0</v>
      </c>
      <c r="AP284" s="469">
        <f t="shared" si="310"/>
        <v>0</v>
      </c>
      <c r="AQ284" s="469">
        <f t="shared" si="310"/>
        <v>0</v>
      </c>
      <c r="AR284" s="469">
        <f t="shared" si="310"/>
        <v>0</v>
      </c>
      <c r="AS284" s="469">
        <f t="shared" si="310"/>
        <v>0</v>
      </c>
      <c r="AT284" s="469">
        <f t="shared" si="310"/>
        <v>0</v>
      </c>
      <c r="AU284" s="469">
        <f t="shared" si="310"/>
        <v>0</v>
      </c>
      <c r="AV284" s="469">
        <f t="shared" si="310"/>
        <v>0</v>
      </c>
      <c r="AW284" s="469">
        <f t="shared" si="36"/>
        <v>0</v>
      </c>
      <c r="AX284" s="469">
        <f t="shared" si="36"/>
        <v>0</v>
      </c>
      <c r="AY284" s="469">
        <f t="shared" si="36"/>
        <v>0</v>
      </c>
      <c r="AZ284" s="469">
        <f t="shared" ref="AZ284:BB284" si="311">(IF($G48=AZ$257,$L$244,0))</f>
        <v>0</v>
      </c>
      <c r="BA284" s="469">
        <f t="shared" si="311"/>
        <v>0</v>
      </c>
      <c r="BB284" s="653">
        <f t="shared" si="311"/>
        <v>0</v>
      </c>
      <c r="BC284" s="653">
        <f t="shared" ref="BC284" si="312">(IF($G48=BC$257,$L$244,0))</f>
        <v>0</v>
      </c>
      <c r="BD284" s="469">
        <f t="shared" ref="BD284:BM284" si="313">(IF($G48=BD$257,$L$248,0))</f>
        <v>0</v>
      </c>
      <c r="BE284" s="469">
        <f t="shared" si="313"/>
        <v>0</v>
      </c>
      <c r="BF284" s="469">
        <f t="shared" si="313"/>
        <v>0</v>
      </c>
      <c r="BG284" s="469">
        <f t="shared" si="313"/>
        <v>0</v>
      </c>
      <c r="BH284" s="469">
        <f t="shared" si="313"/>
        <v>0</v>
      </c>
      <c r="BI284" s="469">
        <f t="shared" si="313"/>
        <v>0</v>
      </c>
      <c r="BJ284" s="469">
        <f t="shared" si="313"/>
        <v>0</v>
      </c>
      <c r="BK284" s="469">
        <f t="shared" si="313"/>
        <v>0</v>
      </c>
      <c r="BL284" s="469">
        <f t="shared" si="313"/>
        <v>0</v>
      </c>
      <c r="BM284" s="469">
        <f t="shared" si="313"/>
        <v>0</v>
      </c>
      <c r="BN284" s="470"/>
      <c r="BO284" s="470"/>
      <c r="BP284" s="469">
        <f t="shared" ref="BP284:BX284" si="314">(IF($G48=BP$257,$L$245,0))</f>
        <v>0</v>
      </c>
      <c r="BQ284" s="469">
        <f t="shared" si="314"/>
        <v>0</v>
      </c>
      <c r="BR284" s="469">
        <f t="shared" si="314"/>
        <v>0</v>
      </c>
      <c r="BS284" s="469">
        <f t="shared" si="314"/>
        <v>0</v>
      </c>
      <c r="BT284" s="469">
        <f t="shared" si="314"/>
        <v>0</v>
      </c>
      <c r="BU284" s="469">
        <f t="shared" si="314"/>
        <v>0</v>
      </c>
      <c r="BV284" s="469">
        <f t="shared" si="314"/>
        <v>0</v>
      </c>
      <c r="BW284" s="469">
        <f t="shared" si="314"/>
        <v>0</v>
      </c>
      <c r="BX284" s="469">
        <f t="shared" si="314"/>
        <v>0</v>
      </c>
      <c r="BY284" s="469">
        <f t="shared" ref="BY284:CJ284" si="315">(IF($G48=BY$257,$L$245,0))</f>
        <v>0</v>
      </c>
      <c r="BZ284" s="469">
        <f t="shared" si="315"/>
        <v>0</v>
      </c>
      <c r="CA284" s="469">
        <f t="shared" si="315"/>
        <v>0</v>
      </c>
      <c r="CB284" s="469">
        <f t="shared" si="315"/>
        <v>0</v>
      </c>
      <c r="CC284" s="469">
        <f t="shared" si="315"/>
        <v>0</v>
      </c>
      <c r="CD284" s="469">
        <f t="shared" si="315"/>
        <v>0</v>
      </c>
      <c r="CE284" s="469">
        <f t="shared" si="315"/>
        <v>0</v>
      </c>
      <c r="CF284" s="469">
        <f t="shared" si="315"/>
        <v>0</v>
      </c>
      <c r="CG284" s="469">
        <f t="shared" si="315"/>
        <v>0</v>
      </c>
      <c r="CH284" s="469">
        <f t="shared" si="315"/>
        <v>0</v>
      </c>
      <c r="CI284" s="469">
        <f t="shared" si="315"/>
        <v>0</v>
      </c>
      <c r="CJ284" s="469">
        <f t="shared" si="315"/>
        <v>0</v>
      </c>
      <c r="CK284" s="469">
        <f t="shared" ref="CK284" si="316">(IF($G48=CK$257,$L$245,0))</f>
        <v>0</v>
      </c>
      <c r="CL284" s="469"/>
      <c r="CM284" s="471"/>
      <c r="CN284" s="469">
        <f t="shared" si="42"/>
        <v>0</v>
      </c>
      <c r="CO284" s="469">
        <f t="shared" si="42"/>
        <v>0</v>
      </c>
      <c r="CP284" s="469">
        <f t="shared" si="42"/>
        <v>0</v>
      </c>
      <c r="CQ284" s="471"/>
      <c r="CR284" s="471"/>
      <c r="CS284" s="469">
        <f t="shared" ref="CS284:CY284" si="317">(IF($G48=CS$257,$L$250,0))</f>
        <v>0</v>
      </c>
      <c r="CT284" s="469">
        <f t="shared" si="317"/>
        <v>0</v>
      </c>
      <c r="CU284" s="469">
        <f t="shared" si="317"/>
        <v>0</v>
      </c>
      <c r="CV284" s="469">
        <f t="shared" si="317"/>
        <v>0</v>
      </c>
      <c r="CW284" s="469">
        <f t="shared" si="317"/>
        <v>0</v>
      </c>
      <c r="CX284" s="469">
        <f t="shared" si="317"/>
        <v>0</v>
      </c>
      <c r="CY284" s="469">
        <f t="shared" si="317"/>
        <v>0</v>
      </c>
      <c r="CZ284" s="471"/>
      <c r="DA284" s="471"/>
      <c r="DB284" s="469">
        <f t="shared" ref="DB284:DL284" si="318">(IF($G48=DB$257,$L$246,0))</f>
        <v>0</v>
      </c>
      <c r="DC284" s="469">
        <f t="shared" si="318"/>
        <v>0</v>
      </c>
      <c r="DD284" s="469">
        <f t="shared" si="318"/>
        <v>0</v>
      </c>
      <c r="DE284" s="469">
        <f t="shared" si="318"/>
        <v>0</v>
      </c>
      <c r="DF284" s="469">
        <f t="shared" si="318"/>
        <v>0</v>
      </c>
      <c r="DG284" s="469">
        <f t="shared" si="318"/>
        <v>0</v>
      </c>
      <c r="DH284" s="469">
        <f t="shared" si="318"/>
        <v>0</v>
      </c>
      <c r="DI284" s="469">
        <f t="shared" si="318"/>
        <v>0</v>
      </c>
      <c r="DJ284" s="469">
        <f t="shared" si="318"/>
        <v>0</v>
      </c>
      <c r="DK284" s="469">
        <f t="shared" si="318"/>
        <v>0</v>
      </c>
      <c r="DL284" s="469">
        <f t="shared" si="318"/>
        <v>0</v>
      </c>
      <c r="DM284" s="469">
        <f t="shared" ref="DM284:DT284" si="319">(IF($G48=DM$257,$L$246,0))</f>
        <v>0</v>
      </c>
      <c r="DN284" s="469">
        <f t="shared" si="319"/>
        <v>0</v>
      </c>
      <c r="DO284" s="469">
        <f t="shared" si="319"/>
        <v>0</v>
      </c>
      <c r="DP284" s="469">
        <f t="shared" si="319"/>
        <v>0</v>
      </c>
      <c r="DQ284" s="469">
        <f t="shared" si="319"/>
        <v>0</v>
      </c>
      <c r="DR284" s="469">
        <f t="shared" si="319"/>
        <v>0</v>
      </c>
      <c r="DS284" s="469">
        <f t="shared" si="319"/>
        <v>0</v>
      </c>
      <c r="DT284" s="469">
        <f t="shared" si="319"/>
        <v>0</v>
      </c>
      <c r="DU284" s="469"/>
      <c r="DV284" s="469"/>
      <c r="DW284" s="471"/>
      <c r="DX284" s="471"/>
      <c r="DY284" s="474">
        <f t="shared" si="66"/>
        <v>0</v>
      </c>
      <c r="EA284" s="477">
        <f t="shared" si="67"/>
        <v>0</v>
      </c>
      <c r="EG284" s="479">
        <f t="shared" si="46"/>
        <v>9.9999999999999995E-8</v>
      </c>
      <c r="EH284" s="480">
        <f t="shared" si="68"/>
        <v>1500</v>
      </c>
      <c r="EI284" s="480">
        <f t="shared" si="69"/>
        <v>0</v>
      </c>
      <c r="EJ284" s="480">
        <f t="shared" si="70"/>
        <v>0</v>
      </c>
      <c r="EK284" s="480">
        <f t="shared" si="71"/>
        <v>0</v>
      </c>
      <c r="EL284" s="480">
        <f t="shared" si="72"/>
        <v>1500</v>
      </c>
      <c r="EM284" s="480"/>
      <c r="EN284" s="480">
        <f t="shared" si="73"/>
        <v>1500</v>
      </c>
      <c r="EO284" s="655">
        <f t="shared" si="74"/>
        <v>0</v>
      </c>
      <c r="EP284" s="655">
        <f t="shared" si="75"/>
        <v>1500</v>
      </c>
      <c r="EQ284" s="481"/>
      <c r="ER284" s="655">
        <f t="shared" si="76"/>
        <v>1500</v>
      </c>
      <c r="ES284" s="656">
        <f t="shared" si="77"/>
        <v>1500</v>
      </c>
      <c r="ET284" s="656">
        <f t="shared" si="78"/>
        <v>0</v>
      </c>
      <c r="EU284" s="656">
        <f t="shared" si="79"/>
        <v>0</v>
      </c>
      <c r="EV284" s="656">
        <f t="shared" si="80"/>
        <v>1500</v>
      </c>
      <c r="EW284" s="483">
        <f t="shared" si="81"/>
        <v>1500</v>
      </c>
      <c r="EX284" s="398">
        <f t="shared" si="82"/>
        <v>0</v>
      </c>
      <c r="EY284" s="285" t="str">
        <f t="shared" si="47"/>
        <v>X</v>
      </c>
      <c r="EZ284" s="245">
        <f t="shared" si="83"/>
        <v>0</v>
      </c>
      <c r="FA284" s="245">
        <f t="shared" si="84"/>
        <v>0</v>
      </c>
    </row>
    <row r="285" spans="1:157" s="261" customFormat="1" ht="17.25" customHeight="1" thickBot="1">
      <c r="A285" s="303"/>
      <c r="D285" s="261">
        <f>SUM(D260:D284)</f>
        <v>0</v>
      </c>
      <c r="AB285" s="629"/>
      <c r="AC285" s="247"/>
      <c r="AD285" s="396" t="s">
        <v>2</v>
      </c>
      <c r="AE285" s="396"/>
      <c r="AF285" s="396"/>
      <c r="AG285" s="248"/>
      <c r="AH285" s="249"/>
      <c r="AI285" s="249"/>
      <c r="AJ285" s="249"/>
      <c r="AK285" s="249"/>
      <c r="AL285" s="249"/>
      <c r="AM285" s="249"/>
      <c r="AN285" s="248"/>
      <c r="AO285" s="248"/>
      <c r="AP285" s="248"/>
      <c r="AQ285" s="248"/>
      <c r="AR285" s="248"/>
      <c r="AS285" s="248"/>
      <c r="AT285" s="248"/>
      <c r="AU285" s="248"/>
      <c r="AV285" s="248"/>
      <c r="AW285" s="248"/>
      <c r="AX285" s="248"/>
      <c r="AY285" s="248"/>
      <c r="AZ285" s="248"/>
      <c r="BA285" s="248"/>
      <c r="BB285" s="248"/>
      <c r="BC285" s="248"/>
      <c r="BD285" s="250"/>
      <c r="BE285" s="250"/>
      <c r="BF285" s="250"/>
      <c r="BG285" s="250"/>
      <c r="BH285" s="250"/>
      <c r="BI285" s="250"/>
      <c r="BJ285" s="250"/>
      <c r="BK285" s="250"/>
      <c r="BL285" s="250"/>
      <c r="BM285" s="250"/>
      <c r="BN285" s="250"/>
      <c r="BO285" s="250"/>
      <c r="BP285" s="250"/>
      <c r="BQ285" s="250"/>
      <c r="BR285" s="250"/>
      <c r="BS285" s="250"/>
      <c r="BT285" s="250"/>
      <c r="BU285" s="251"/>
      <c r="BV285" s="251"/>
      <c r="BW285" s="251"/>
      <c r="BX285" s="251"/>
      <c r="BY285" s="251"/>
      <c r="BZ285" s="251"/>
      <c r="CA285" s="251"/>
      <c r="CB285" s="251"/>
      <c r="CC285" s="251"/>
      <c r="CD285" s="251"/>
      <c r="CE285" s="251"/>
      <c r="CF285" s="251"/>
      <c r="CG285" s="251"/>
      <c r="CH285" s="251"/>
      <c r="CI285" s="251"/>
      <c r="CJ285" s="251"/>
      <c r="CK285" s="251"/>
      <c r="CL285" s="251"/>
      <c r="CM285" s="251"/>
      <c r="CN285" s="251"/>
      <c r="CO285" s="251"/>
      <c r="CP285" s="251"/>
      <c r="CQ285" s="251"/>
      <c r="CR285" s="251"/>
      <c r="CS285" s="251"/>
      <c r="CT285" s="251"/>
      <c r="CU285" s="251"/>
      <c r="CV285" s="251"/>
      <c r="CW285" s="251"/>
      <c r="CX285" s="251"/>
      <c r="CY285" s="251"/>
      <c r="CZ285" s="251"/>
      <c r="DA285" s="251"/>
      <c r="DB285" s="251"/>
      <c r="DC285" s="251"/>
      <c r="DD285" s="251"/>
      <c r="DE285" s="251"/>
      <c r="DF285" s="251"/>
      <c r="DG285" s="251"/>
      <c r="DH285" s="251"/>
      <c r="DI285" s="251"/>
      <c r="DJ285" s="251"/>
      <c r="DK285" s="251"/>
      <c r="DL285" s="251"/>
      <c r="DM285" s="251"/>
      <c r="DN285" s="251"/>
      <c r="DO285" s="251"/>
      <c r="DP285" s="251"/>
      <c r="DQ285" s="251"/>
      <c r="DR285" s="251"/>
      <c r="DS285" s="251"/>
      <c r="DT285" s="251"/>
      <c r="DU285" s="251"/>
      <c r="DV285" s="251"/>
      <c r="DW285" s="251"/>
      <c r="DX285" s="251"/>
      <c r="DY285" s="251"/>
      <c r="DZ285" s="251"/>
      <c r="EA285" s="251"/>
      <c r="EB285" s="251"/>
      <c r="EC285" s="251"/>
      <c r="ED285" s="251"/>
      <c r="EE285" s="251"/>
      <c r="EF285" s="251"/>
      <c r="EG285" s="251"/>
      <c r="EH285" s="251"/>
      <c r="EI285" s="251"/>
      <c r="EJ285" s="251"/>
      <c r="EK285" s="251"/>
      <c r="EL285" s="251"/>
      <c r="EM285" s="251"/>
      <c r="EN285" s="251"/>
      <c r="EO285" s="247"/>
      <c r="EP285" s="247"/>
      <c r="EQ285" s="247"/>
      <c r="ER285" s="250"/>
      <c r="ES285" s="397"/>
      <c r="ET285" s="397"/>
      <c r="EU285" s="397"/>
      <c r="EV285" s="397"/>
      <c r="EW285" s="397"/>
    </row>
    <row r="286" spans="1:157">
      <c r="ER286" s="250"/>
      <c r="ES286" s="397"/>
      <c r="ET286" s="397"/>
      <c r="EU286" s="397"/>
      <c r="EV286" s="397"/>
      <c r="EW286" s="397"/>
    </row>
    <row r="287" spans="1:157">
      <c r="ER287" s="250"/>
      <c r="ES287" s="397"/>
      <c r="ET287" s="397"/>
      <c r="EU287" s="397"/>
      <c r="EV287" s="397"/>
      <c r="EW287" s="397"/>
    </row>
    <row r="288" spans="1:157">
      <c r="ER288" s="250"/>
      <c r="ES288" s="397"/>
      <c r="ET288" s="397"/>
      <c r="EU288" s="397"/>
      <c r="EV288" s="397"/>
      <c r="EW288" s="397"/>
    </row>
    <row r="289" spans="148:153">
      <c r="ER289" s="250"/>
      <c r="ES289" s="397"/>
      <c r="ET289" s="397"/>
      <c r="EU289" s="397"/>
      <c r="EV289" s="397"/>
      <c r="EW289" s="397"/>
    </row>
    <row r="290" spans="148:153">
      <c r="ER290" s="250"/>
      <c r="ES290" s="397"/>
      <c r="ET290" s="397"/>
      <c r="EU290" s="397"/>
      <c r="EV290" s="397"/>
      <c r="EW290" s="397"/>
    </row>
    <row r="291" spans="148:153">
      <c r="ER291" s="250"/>
      <c r="ES291" s="397"/>
      <c r="ET291" s="397"/>
      <c r="EU291" s="397"/>
      <c r="EV291" s="397"/>
      <c r="EW291" s="397"/>
    </row>
    <row r="292" spans="148:153">
      <c r="ER292" s="250"/>
      <c r="ES292" s="397"/>
      <c r="ET292" s="397"/>
      <c r="EU292" s="397"/>
      <c r="EV292" s="397"/>
      <c r="EW292" s="397"/>
    </row>
    <row r="293" spans="148:153">
      <c r="ER293" s="250"/>
      <c r="ES293" s="397"/>
      <c r="ET293" s="397"/>
      <c r="EU293" s="397"/>
      <c r="EV293" s="397"/>
      <c r="EW293" s="397"/>
    </row>
    <row r="294" spans="148:153">
      <c r="ER294" s="250"/>
      <c r="ES294" s="397"/>
      <c r="ET294" s="397"/>
      <c r="EU294" s="397"/>
      <c r="EV294" s="397"/>
      <c r="EW294" s="397"/>
    </row>
    <row r="295" spans="148:153">
      <c r="ER295" s="250"/>
      <c r="ES295" s="397"/>
      <c r="ET295" s="397"/>
      <c r="EU295" s="397"/>
      <c r="EV295" s="397"/>
      <c r="EW295" s="397"/>
    </row>
    <row r="296" spans="148:153">
      <c r="ER296" s="250"/>
      <c r="ES296" s="397"/>
      <c r="ET296" s="397"/>
      <c r="EU296" s="397"/>
      <c r="EV296" s="397"/>
      <c r="EW296" s="397"/>
    </row>
    <row r="297" spans="148:153">
      <c r="ER297" s="250"/>
      <c r="ES297" s="397"/>
      <c r="ET297" s="397"/>
      <c r="EU297" s="397"/>
      <c r="EV297" s="397"/>
      <c r="EW297" s="397"/>
    </row>
    <row r="298" spans="148:153">
      <c r="ER298" s="250"/>
      <c r="ES298" s="397"/>
      <c r="ET298" s="397"/>
      <c r="EU298" s="397"/>
      <c r="EV298" s="397"/>
      <c r="EW298" s="397"/>
    </row>
    <row r="299" spans="148:153">
      <c r="ER299" s="250"/>
      <c r="ES299" s="397"/>
      <c r="ET299" s="397"/>
      <c r="EU299" s="397"/>
      <c r="EV299" s="397"/>
      <c r="EW299" s="397"/>
    </row>
    <row r="300" spans="148:153">
      <c r="ER300" s="250"/>
      <c r="ES300" s="397"/>
      <c r="ET300" s="397"/>
      <c r="EU300" s="397"/>
      <c r="EV300" s="397"/>
      <c r="EW300" s="397"/>
    </row>
    <row r="301" spans="148:153">
      <c r="ER301" s="250"/>
      <c r="ES301" s="397"/>
      <c r="ET301" s="397"/>
      <c r="EU301" s="397"/>
      <c r="EV301" s="397"/>
      <c r="EW301" s="397"/>
    </row>
    <row r="302" spans="148:153">
      <c r="ER302" s="250"/>
      <c r="ES302" s="397"/>
      <c r="ET302" s="397"/>
      <c r="EU302" s="397"/>
      <c r="EV302" s="397"/>
      <c r="EW302" s="397"/>
    </row>
    <row r="303" spans="148:153">
      <c r="ER303" s="250"/>
      <c r="ES303" s="397"/>
      <c r="ET303" s="397"/>
      <c r="EU303" s="397"/>
      <c r="EV303" s="397"/>
      <c r="EW303" s="397"/>
    </row>
    <row r="304" spans="148:153">
      <c r="ER304" s="250"/>
      <c r="ES304" s="397"/>
      <c r="ET304" s="397"/>
      <c r="EU304" s="397"/>
      <c r="EV304" s="397"/>
      <c r="EW304" s="397"/>
    </row>
    <row r="305" spans="148:153">
      <c r="ER305" s="250"/>
      <c r="ES305" s="397"/>
      <c r="ET305" s="397"/>
      <c r="EU305" s="397"/>
      <c r="EV305" s="397"/>
      <c r="EW305" s="397"/>
    </row>
    <row r="306" spans="148:153">
      <c r="ER306" s="250"/>
      <c r="ES306" s="397"/>
      <c r="ET306" s="397"/>
      <c r="EU306" s="397"/>
      <c r="EV306" s="397"/>
      <c r="EW306" s="397"/>
    </row>
    <row r="307" spans="148:153">
      <c r="ES307" s="397"/>
      <c r="ET307" s="397"/>
      <c r="EU307" s="397"/>
      <c r="EV307" s="397"/>
      <c r="EW307" s="397"/>
    </row>
    <row r="308" spans="148:153">
      <c r="ES308" s="397"/>
      <c r="ET308" s="397"/>
      <c r="EU308" s="397"/>
      <c r="EV308" s="397"/>
      <c r="EW308" s="397"/>
    </row>
    <row r="309" spans="148:153">
      <c r="ES309" s="397"/>
      <c r="ET309" s="397"/>
      <c r="EU309" s="397"/>
      <c r="EV309" s="397"/>
      <c r="EW309" s="397"/>
    </row>
    <row r="310" spans="148:153">
      <c r="ES310" s="397"/>
      <c r="ET310" s="397"/>
      <c r="EU310" s="397"/>
      <c r="EV310" s="397"/>
      <c r="EW310" s="397"/>
    </row>
    <row r="311" spans="148:153">
      <c r="ES311" s="397"/>
      <c r="ET311" s="397"/>
      <c r="EU311" s="397"/>
      <c r="EV311" s="397"/>
      <c r="EW311" s="397"/>
    </row>
    <row r="312" spans="148:153">
      <c r="ES312" s="397"/>
      <c r="ET312" s="397"/>
      <c r="EU312" s="397"/>
      <c r="EV312" s="397"/>
      <c r="EW312" s="397"/>
    </row>
    <row r="313" spans="148:153">
      <c r="ES313" s="397"/>
      <c r="ET313" s="397"/>
      <c r="EU313" s="397"/>
      <c r="EV313" s="397"/>
      <c r="EW313" s="397"/>
    </row>
    <row r="314" spans="148:153">
      <c r="ES314" s="397"/>
      <c r="ET314" s="397"/>
      <c r="EU314" s="397"/>
      <c r="EV314" s="397"/>
      <c r="EW314" s="397"/>
    </row>
    <row r="315" spans="148:153">
      <c r="ES315" s="397"/>
      <c r="ET315" s="397"/>
      <c r="EU315" s="397"/>
      <c r="EV315" s="397"/>
      <c r="EW315" s="397"/>
    </row>
    <row r="316" spans="148:153">
      <c r="ES316" s="397"/>
      <c r="ET316" s="397"/>
      <c r="EU316" s="397"/>
      <c r="EV316" s="397"/>
      <c r="EW316" s="397"/>
    </row>
    <row r="317" spans="148:153">
      <c r="ES317" s="397"/>
      <c r="ET317" s="397"/>
      <c r="EU317" s="397"/>
      <c r="EV317" s="397"/>
      <c r="EW317" s="397"/>
    </row>
    <row r="318" spans="148:153">
      <c r="ES318" s="397"/>
      <c r="ET318" s="397"/>
      <c r="EU318" s="397"/>
      <c r="EV318" s="397"/>
      <c r="EW318" s="397"/>
    </row>
    <row r="319" spans="148:153">
      <c r="ES319" s="397"/>
      <c r="ET319" s="397"/>
      <c r="EU319" s="397"/>
      <c r="EV319" s="397"/>
      <c r="EW319" s="397"/>
    </row>
    <row r="320" spans="148:153">
      <c r="ES320" s="397"/>
      <c r="ET320" s="397"/>
      <c r="EU320" s="397"/>
      <c r="EV320" s="397"/>
      <c r="EW320" s="397"/>
    </row>
    <row r="321" spans="149:153">
      <c r="ES321" s="397"/>
      <c r="ET321" s="397"/>
      <c r="EU321" s="397"/>
      <c r="EV321" s="397"/>
      <c r="EW321" s="397"/>
    </row>
    <row r="322" spans="149:153">
      <c r="ES322" s="397"/>
      <c r="ET322" s="397"/>
      <c r="EU322" s="397"/>
      <c r="EV322" s="397"/>
      <c r="EW322" s="397"/>
    </row>
    <row r="323" spans="149:153">
      <c r="ES323" s="397"/>
      <c r="ET323" s="397"/>
      <c r="EU323" s="397"/>
      <c r="EV323" s="397"/>
      <c r="EW323" s="397"/>
    </row>
    <row r="324" spans="149:153">
      <c r="ES324" s="397"/>
      <c r="ET324" s="397"/>
      <c r="EU324" s="397"/>
      <c r="EV324" s="397"/>
      <c r="EW324" s="397"/>
    </row>
    <row r="325" spans="149:153">
      <c r="ES325" s="397"/>
      <c r="ET325" s="397"/>
      <c r="EU325" s="397"/>
      <c r="EV325" s="397"/>
      <c r="EW325" s="397"/>
    </row>
    <row r="326" spans="149:153">
      <c r="ES326" s="397"/>
      <c r="ET326" s="397"/>
      <c r="EU326" s="397"/>
      <c r="EV326" s="397"/>
      <c r="EW326" s="397"/>
    </row>
    <row r="327" spans="149:153">
      <c r="ES327" s="397"/>
      <c r="ET327" s="397"/>
      <c r="EU327" s="397"/>
      <c r="EV327" s="397"/>
      <c r="EW327" s="397"/>
    </row>
    <row r="328" spans="149:153">
      <c r="ES328" s="397"/>
      <c r="ET328" s="397"/>
      <c r="EU328" s="397"/>
      <c r="EV328" s="397"/>
      <c r="EW328" s="397"/>
    </row>
    <row r="329" spans="149:153">
      <c r="ES329" s="397"/>
      <c r="ET329" s="397"/>
      <c r="EU329" s="397"/>
      <c r="EV329" s="397"/>
      <c r="EW329" s="397"/>
    </row>
    <row r="330" spans="149:153">
      <c r="ES330" s="397"/>
      <c r="ET330" s="397"/>
      <c r="EU330" s="397"/>
      <c r="EV330" s="397"/>
      <c r="EW330" s="397"/>
    </row>
    <row r="331" spans="149:153">
      <c r="ES331" s="397"/>
      <c r="ET331" s="397"/>
      <c r="EU331" s="397"/>
      <c r="EV331" s="397"/>
      <c r="EW331" s="397"/>
    </row>
    <row r="332" spans="149:153">
      <c r="ES332" s="397"/>
      <c r="ET332" s="397"/>
      <c r="EU332" s="397"/>
      <c r="EV332" s="397"/>
      <c r="EW332" s="397"/>
    </row>
    <row r="333" spans="149:153">
      <c r="ES333" s="397"/>
      <c r="ET333" s="397"/>
      <c r="EU333" s="397"/>
      <c r="EV333" s="397"/>
      <c r="EW333" s="397"/>
    </row>
    <row r="334" spans="149:153">
      <c r="ES334" s="397"/>
      <c r="ET334" s="397"/>
      <c r="EU334" s="397"/>
      <c r="EV334" s="397"/>
      <c r="EW334" s="397"/>
    </row>
  </sheetData>
  <sheetProtection password="CCDF" sheet="1" objects="1" scenarios="1"/>
  <mergeCells count="411">
    <mergeCell ref="P221:Q221"/>
    <mergeCell ref="D233:F233"/>
    <mergeCell ref="D226:F226"/>
    <mergeCell ref="D227:F227"/>
    <mergeCell ref="P220:Q220"/>
    <mergeCell ref="P228:Q228"/>
    <mergeCell ref="M225:O225"/>
    <mergeCell ref="P234:Q234"/>
    <mergeCell ref="S192:AA234"/>
    <mergeCell ref="P232:Q232"/>
    <mergeCell ref="F195:Q195"/>
    <mergeCell ref="F203:Q203"/>
    <mergeCell ref="F205:Q205"/>
    <mergeCell ref="P233:Q233"/>
    <mergeCell ref="M232:O232"/>
    <mergeCell ref="P229:Q229"/>
    <mergeCell ref="M230:O230"/>
    <mergeCell ref="M231:O231"/>
    <mergeCell ref="P230:Q230"/>
    <mergeCell ref="P224:Q224"/>
    <mergeCell ref="P227:Q227"/>
    <mergeCell ref="P222:Q222"/>
    <mergeCell ref="P223:Q223"/>
    <mergeCell ref="P231:Q231"/>
    <mergeCell ref="P226:Q226"/>
    <mergeCell ref="P225:Q225"/>
    <mergeCell ref="G229:I229"/>
    <mergeCell ref="J229:L229"/>
    <mergeCell ref="M229:O229"/>
    <mergeCell ref="J231:L231"/>
    <mergeCell ref="J226:L226"/>
    <mergeCell ref="M226:O226"/>
    <mergeCell ref="G226:I226"/>
    <mergeCell ref="J227:L227"/>
    <mergeCell ref="M227:O227"/>
    <mergeCell ref="D225:F225"/>
    <mergeCell ref="G225:I225"/>
    <mergeCell ref="J225:L225"/>
    <mergeCell ref="D234:F234"/>
    <mergeCell ref="G234:I234"/>
    <mergeCell ref="J234:L234"/>
    <mergeCell ref="M234:O234"/>
    <mergeCell ref="D232:F232"/>
    <mergeCell ref="D230:F230"/>
    <mergeCell ref="G230:I230"/>
    <mergeCell ref="J230:L230"/>
    <mergeCell ref="D231:F231"/>
    <mergeCell ref="G231:I231"/>
    <mergeCell ref="G227:I227"/>
    <mergeCell ref="G232:I232"/>
    <mergeCell ref="J232:L232"/>
    <mergeCell ref="D228:F228"/>
    <mergeCell ref="G228:I228"/>
    <mergeCell ref="J228:L228"/>
    <mergeCell ref="M228:O228"/>
    <mergeCell ref="G233:I233"/>
    <mergeCell ref="J233:L233"/>
    <mergeCell ref="M233:O233"/>
    <mergeCell ref="D229:F229"/>
    <mergeCell ref="G220:I220"/>
    <mergeCell ref="J220:L220"/>
    <mergeCell ref="M220:O220"/>
    <mergeCell ref="D221:F221"/>
    <mergeCell ref="G221:I221"/>
    <mergeCell ref="J221:L221"/>
    <mergeCell ref="M221:O221"/>
    <mergeCell ref="D224:F224"/>
    <mergeCell ref="G224:I224"/>
    <mergeCell ref="J224:L224"/>
    <mergeCell ref="M224:O224"/>
    <mergeCell ref="D211:F211"/>
    <mergeCell ref="P216:Q216"/>
    <mergeCell ref="D217:F217"/>
    <mergeCell ref="G217:I217"/>
    <mergeCell ref="J217:L217"/>
    <mergeCell ref="M217:O217"/>
    <mergeCell ref="P217:Q217"/>
    <mergeCell ref="D216:F216"/>
    <mergeCell ref="G216:I216"/>
    <mergeCell ref="J216:L216"/>
    <mergeCell ref="M216:O216"/>
    <mergeCell ref="J215:L215"/>
    <mergeCell ref="M215:O215"/>
    <mergeCell ref="P215:Q215"/>
    <mergeCell ref="J214:L214"/>
    <mergeCell ref="D43:F43"/>
    <mergeCell ref="G43:I43"/>
    <mergeCell ref="D44:F44"/>
    <mergeCell ref="G44:I44"/>
    <mergeCell ref="J44:L44"/>
    <mergeCell ref="D47:F47"/>
    <mergeCell ref="G47:I47"/>
    <mergeCell ref="P211:Q211"/>
    <mergeCell ref="P214:Q214"/>
    <mergeCell ref="D214:F214"/>
    <mergeCell ref="G214:I214"/>
    <mergeCell ref="J213:L213"/>
    <mergeCell ref="M213:O213"/>
    <mergeCell ref="P213:Q213"/>
    <mergeCell ref="D212:F212"/>
    <mergeCell ref="M212:O212"/>
    <mergeCell ref="G212:I212"/>
    <mergeCell ref="J212:L212"/>
    <mergeCell ref="P212:Q212"/>
    <mergeCell ref="D213:F213"/>
    <mergeCell ref="G213:I213"/>
    <mergeCell ref="M214:O214"/>
    <mergeCell ref="G211:I211"/>
    <mergeCell ref="J211:L211"/>
    <mergeCell ref="D36:F36"/>
    <mergeCell ref="D29:F29"/>
    <mergeCell ref="G29:I29"/>
    <mergeCell ref="J29:L29"/>
    <mergeCell ref="D30:F30"/>
    <mergeCell ref="G30:I30"/>
    <mergeCell ref="J30:L30"/>
    <mergeCell ref="D38:F38"/>
    <mergeCell ref="G38:I38"/>
    <mergeCell ref="D37:F37"/>
    <mergeCell ref="G36:I36"/>
    <mergeCell ref="D35:F35"/>
    <mergeCell ref="G35:I35"/>
    <mergeCell ref="G37:I37"/>
    <mergeCell ref="P30:Q30"/>
    <mergeCell ref="R30:S30"/>
    <mergeCell ref="P26:Q26"/>
    <mergeCell ref="R26:S26"/>
    <mergeCell ref="P28:Q28"/>
    <mergeCell ref="R29:S29"/>
    <mergeCell ref="R17:Y17"/>
    <mergeCell ref="F15:H15"/>
    <mergeCell ref="N15:P15"/>
    <mergeCell ref="M29:O29"/>
    <mergeCell ref="P29:Q29"/>
    <mergeCell ref="M30:O30"/>
    <mergeCell ref="R28:S28"/>
    <mergeCell ref="D27:F27"/>
    <mergeCell ref="G27:I27"/>
    <mergeCell ref="D28:F28"/>
    <mergeCell ref="R24:S24"/>
    <mergeCell ref="P25:Q25"/>
    <mergeCell ref="R25:S25"/>
    <mergeCell ref="P24:Q24"/>
    <mergeCell ref="P27:Q27"/>
    <mergeCell ref="R27:S27"/>
    <mergeCell ref="D24:F24"/>
    <mergeCell ref="G24:I24"/>
    <mergeCell ref="AD8:AN8"/>
    <mergeCell ref="AD11:AN11"/>
    <mergeCell ref="AD13:AN13"/>
    <mergeCell ref="AD15:AN15"/>
    <mergeCell ref="F8:P8"/>
    <mergeCell ref="N13:P13"/>
    <mergeCell ref="F11:P11"/>
    <mergeCell ref="F13:H13"/>
    <mergeCell ref="U13:Y13"/>
    <mergeCell ref="J24:L24"/>
    <mergeCell ref="M24:O24"/>
    <mergeCell ref="U8:Y8"/>
    <mergeCell ref="F10:P10"/>
    <mergeCell ref="U11:Y11"/>
    <mergeCell ref="U10:Y10"/>
    <mergeCell ref="D26:F26"/>
    <mergeCell ref="G26:I26"/>
    <mergeCell ref="J26:L26"/>
    <mergeCell ref="M26:O26"/>
    <mergeCell ref="M25:O25"/>
    <mergeCell ref="D25:F25"/>
    <mergeCell ref="G25:I25"/>
    <mergeCell ref="J25:L25"/>
    <mergeCell ref="Q10:T10"/>
    <mergeCell ref="G28:I28"/>
    <mergeCell ref="J28:L28"/>
    <mergeCell ref="M28:O28"/>
    <mergeCell ref="J27:L27"/>
    <mergeCell ref="M27:O27"/>
    <mergeCell ref="R32:S32"/>
    <mergeCell ref="D34:F34"/>
    <mergeCell ref="G34:I34"/>
    <mergeCell ref="J34:L34"/>
    <mergeCell ref="M34:O34"/>
    <mergeCell ref="D31:F31"/>
    <mergeCell ref="G31:I31"/>
    <mergeCell ref="D32:F32"/>
    <mergeCell ref="G32:I32"/>
    <mergeCell ref="J32:L32"/>
    <mergeCell ref="J31:L31"/>
    <mergeCell ref="M31:O31"/>
    <mergeCell ref="R33:S33"/>
    <mergeCell ref="D33:F33"/>
    <mergeCell ref="G33:I33"/>
    <mergeCell ref="J33:L33"/>
    <mergeCell ref="M33:O33"/>
    <mergeCell ref="P33:Q33"/>
    <mergeCell ref="P32:Q32"/>
    <mergeCell ref="P31:Q31"/>
    <mergeCell ref="R31:S31"/>
    <mergeCell ref="M32:O32"/>
    <mergeCell ref="J39:L39"/>
    <mergeCell ref="R34:S34"/>
    <mergeCell ref="P35:Q35"/>
    <mergeCell ref="R35:S35"/>
    <mergeCell ref="P36:Q36"/>
    <mergeCell ref="R36:S36"/>
    <mergeCell ref="J38:L38"/>
    <mergeCell ref="M38:O38"/>
    <mergeCell ref="J36:L36"/>
    <mergeCell ref="M36:O36"/>
    <mergeCell ref="J35:L35"/>
    <mergeCell ref="M35:O35"/>
    <mergeCell ref="P34:Q34"/>
    <mergeCell ref="R37:S37"/>
    <mergeCell ref="P38:Q38"/>
    <mergeCell ref="R38:S38"/>
    <mergeCell ref="P39:Q39"/>
    <mergeCell ref="R39:S39"/>
    <mergeCell ref="J37:L37"/>
    <mergeCell ref="M37:O37"/>
    <mergeCell ref="D39:F39"/>
    <mergeCell ref="G39:I39"/>
    <mergeCell ref="P37:Q37"/>
    <mergeCell ref="D42:F42"/>
    <mergeCell ref="G42:I42"/>
    <mergeCell ref="J42:L42"/>
    <mergeCell ref="M42:O42"/>
    <mergeCell ref="D41:F41"/>
    <mergeCell ref="G41:I41"/>
    <mergeCell ref="J41:L41"/>
    <mergeCell ref="M39:O39"/>
    <mergeCell ref="D40:F40"/>
    <mergeCell ref="G40:I40"/>
    <mergeCell ref="J40:L40"/>
    <mergeCell ref="M40:O40"/>
    <mergeCell ref="M44:O44"/>
    <mergeCell ref="J43:L43"/>
    <mergeCell ref="M43:O43"/>
    <mergeCell ref="P40:Q40"/>
    <mergeCell ref="R41:S41"/>
    <mergeCell ref="P42:Q42"/>
    <mergeCell ref="R42:S42"/>
    <mergeCell ref="P43:Q43"/>
    <mergeCell ref="R43:S43"/>
    <mergeCell ref="P44:Q44"/>
    <mergeCell ref="R44:S44"/>
    <mergeCell ref="P41:Q41"/>
    <mergeCell ref="M41:O41"/>
    <mergeCell ref="R40:S40"/>
    <mergeCell ref="H126:J126"/>
    <mergeCell ref="R50:W50"/>
    <mergeCell ref="N111:P111"/>
    <mergeCell ref="T111:X111"/>
    <mergeCell ref="H124:J124"/>
    <mergeCell ref="N124:P124"/>
    <mergeCell ref="B52:Q52"/>
    <mergeCell ref="P50:Q50"/>
    <mergeCell ref="H120:J120"/>
    <mergeCell ref="N120:P120"/>
    <mergeCell ref="X126:Z126"/>
    <mergeCell ref="R46:S46"/>
    <mergeCell ref="J46:L46"/>
    <mergeCell ref="M46:O46"/>
    <mergeCell ref="D45:F45"/>
    <mergeCell ref="G45:I45"/>
    <mergeCell ref="J45:L45"/>
    <mergeCell ref="M45:O45"/>
    <mergeCell ref="J50:L50"/>
    <mergeCell ref="M50:O50"/>
    <mergeCell ref="O2:S2"/>
    <mergeCell ref="F5:G5"/>
    <mergeCell ref="H153:K153"/>
    <mergeCell ref="S3:X3"/>
    <mergeCell ref="N114:P114"/>
    <mergeCell ref="T124:W124"/>
    <mergeCell ref="C112:Y112"/>
    <mergeCell ref="Y50:Z50"/>
    <mergeCell ref="H5:Y5"/>
    <mergeCell ref="H151:K151"/>
    <mergeCell ref="T138:W138"/>
    <mergeCell ref="H149:K149"/>
    <mergeCell ref="T113:X113"/>
    <mergeCell ref="T114:X114"/>
    <mergeCell ref="T116:X116"/>
    <mergeCell ref="T120:W120"/>
    <mergeCell ref="T142:W142"/>
    <mergeCell ref="T144:X144"/>
    <mergeCell ref="T126:W126"/>
    <mergeCell ref="D48:F48"/>
    <mergeCell ref="X128:Z128"/>
    <mergeCell ref="R52:S52"/>
    <mergeCell ref="P46:Q46"/>
    <mergeCell ref="G46:I46"/>
    <mergeCell ref="Y142:Z142"/>
    <mergeCell ref="N142:P142"/>
    <mergeCell ref="P22:Q22"/>
    <mergeCell ref="O246:V246"/>
    <mergeCell ref="B108:P108"/>
    <mergeCell ref="G208:I208"/>
    <mergeCell ref="J208:L208"/>
    <mergeCell ref="M208:O208"/>
    <mergeCell ref="O197:Q197"/>
    <mergeCell ref="B155:G155"/>
    <mergeCell ref="B189:C190"/>
    <mergeCell ref="H155:K155"/>
    <mergeCell ref="H134:J134"/>
    <mergeCell ref="M211:O211"/>
    <mergeCell ref="H122:J122"/>
    <mergeCell ref="N122:P122"/>
    <mergeCell ref="T122:W122"/>
    <mergeCell ref="I127:K127"/>
    <mergeCell ref="N126:P126"/>
    <mergeCell ref="Y134:Z134"/>
    <mergeCell ref="X120:Z120"/>
    <mergeCell ref="X122:Z122"/>
    <mergeCell ref="X124:Z124"/>
    <mergeCell ref="M223:O223"/>
    <mergeCell ref="P208:Q208"/>
    <mergeCell ref="T140:W140"/>
    <mergeCell ref="J22:L22"/>
    <mergeCell ref="M22:O22"/>
    <mergeCell ref="D22:F22"/>
    <mergeCell ref="G22:I22"/>
    <mergeCell ref="N128:P128"/>
    <mergeCell ref="T128:W128"/>
    <mergeCell ref="U52:W52"/>
    <mergeCell ref="N113:P113"/>
    <mergeCell ref="M47:O47"/>
    <mergeCell ref="P48:Q48"/>
    <mergeCell ref="R48:S48"/>
    <mergeCell ref="R47:S47"/>
    <mergeCell ref="T130:W130"/>
    <mergeCell ref="H130:J130"/>
    <mergeCell ref="N130:P130"/>
    <mergeCell ref="N140:P140"/>
    <mergeCell ref="G48:I48"/>
    <mergeCell ref="P47:Q47"/>
    <mergeCell ref="J48:L48"/>
    <mergeCell ref="M48:O48"/>
    <mergeCell ref="D46:F46"/>
    <mergeCell ref="P53:Q53"/>
    <mergeCell ref="E248:J248"/>
    <mergeCell ref="E247:J247"/>
    <mergeCell ref="E246:J246"/>
    <mergeCell ref="E245:J245"/>
    <mergeCell ref="O247:V247"/>
    <mergeCell ref="P218:Q218"/>
    <mergeCell ref="D219:F219"/>
    <mergeCell ref="G219:I219"/>
    <mergeCell ref="J219:L219"/>
    <mergeCell ref="M219:O219"/>
    <mergeCell ref="P219:Q219"/>
    <mergeCell ref="D218:F218"/>
    <mergeCell ref="G218:I218"/>
    <mergeCell ref="J218:L218"/>
    <mergeCell ref="D222:F222"/>
    <mergeCell ref="G222:I222"/>
    <mergeCell ref="J222:L222"/>
    <mergeCell ref="M222:O222"/>
    <mergeCell ref="D223:F223"/>
    <mergeCell ref="G223:I223"/>
    <mergeCell ref="J223:L223"/>
    <mergeCell ref="O244:V244"/>
    <mergeCell ref="M218:O218"/>
    <mergeCell ref="D220:F220"/>
    <mergeCell ref="H140:J140"/>
    <mergeCell ref="J47:L47"/>
    <mergeCell ref="P45:Q45"/>
    <mergeCell ref="R45:S45"/>
    <mergeCell ref="P210:Q210"/>
    <mergeCell ref="O248:V248"/>
    <mergeCell ref="T134:W134"/>
    <mergeCell ref="H138:J138"/>
    <mergeCell ref="N134:P134"/>
    <mergeCell ref="O149:Y149"/>
    <mergeCell ref="M210:O210"/>
    <mergeCell ref="N138:P138"/>
    <mergeCell ref="M189:Q190"/>
    <mergeCell ref="F197:M197"/>
    <mergeCell ref="F199:Q199"/>
    <mergeCell ref="Y51:Z52"/>
    <mergeCell ref="Y138:Z138"/>
    <mergeCell ref="Y140:Z140"/>
    <mergeCell ref="C50:I50"/>
    <mergeCell ref="F192:Q192"/>
    <mergeCell ref="F194:Q194"/>
    <mergeCell ref="R53:S53"/>
    <mergeCell ref="B53:O53"/>
    <mergeCell ref="O245:V245"/>
    <mergeCell ref="O1:S1"/>
    <mergeCell ref="B149:G149"/>
    <mergeCell ref="B151:G151"/>
    <mergeCell ref="B153:G153"/>
    <mergeCell ref="F201:Q201"/>
    <mergeCell ref="H255:H256"/>
    <mergeCell ref="E244:J244"/>
    <mergeCell ref="E251:J251"/>
    <mergeCell ref="E252:J252"/>
    <mergeCell ref="E253:J253"/>
    <mergeCell ref="O251:V251"/>
    <mergeCell ref="E250:J250"/>
    <mergeCell ref="E249:J249"/>
    <mergeCell ref="O249:V249"/>
    <mergeCell ref="O253:V253"/>
    <mergeCell ref="O252:V252"/>
    <mergeCell ref="D208:F208"/>
    <mergeCell ref="D210:F210"/>
    <mergeCell ref="G210:I210"/>
    <mergeCell ref="J210:L210"/>
    <mergeCell ref="D215:F215"/>
    <mergeCell ref="G215:I215"/>
    <mergeCell ref="C165:Z167"/>
    <mergeCell ref="O250:V250"/>
  </mergeCells>
  <phoneticPr fontId="0" type="noConversion"/>
  <conditionalFormatting sqref="AA24:AA48 AC24:AC48">
    <cfRule type="cellIs" dxfId="44" priority="112" stopIfTrue="1" operator="between">
      <formula>"y"</formula>
      <formula>"y"</formula>
    </cfRule>
  </conditionalFormatting>
  <conditionalFormatting sqref="U24">
    <cfRule type="cellIs" dxfId="43" priority="98" stopIfTrue="1" operator="equal">
      <formula>"o"</formula>
    </cfRule>
  </conditionalFormatting>
  <conditionalFormatting sqref="P24">
    <cfRule type="cellIs" dxfId="42" priority="74" stopIfTrue="1" operator="greaterThan">
      <formula>400000</formula>
    </cfRule>
  </conditionalFormatting>
  <conditionalFormatting sqref="Y24:Y48">
    <cfRule type="cellIs" dxfId="41" priority="68" stopIfTrue="1" operator="lessThan">
      <formula>11</formula>
    </cfRule>
  </conditionalFormatting>
  <conditionalFormatting sqref="W24">
    <cfRule type="cellIs" dxfId="40" priority="63" stopIfTrue="1" operator="equal">
      <formula>"o"</formula>
    </cfRule>
  </conditionalFormatting>
  <conditionalFormatting sqref="Z24">
    <cfRule type="cellIs" dxfId="39" priority="44" operator="equal">
      <formula>10000000000.05</formula>
    </cfRule>
    <cfRule type="expression" dxfId="38" priority="60" stopIfTrue="1">
      <formula>"if(y249&lt;.1)"</formula>
    </cfRule>
  </conditionalFormatting>
  <conditionalFormatting sqref="Z24">
    <cfRule type="cellIs" dxfId="37" priority="59" operator="between">
      <formula>0</formula>
      <formula>0.06</formula>
    </cfRule>
  </conditionalFormatting>
  <conditionalFormatting sqref="V24">
    <cfRule type="cellIs" dxfId="36" priority="58" stopIfTrue="1" operator="equal">
      <formula>"o"</formula>
    </cfRule>
  </conditionalFormatting>
  <conditionalFormatting sqref="X24:X48">
    <cfRule type="cellIs" dxfId="35" priority="57" stopIfTrue="1" operator="equal">
      <formula>"o"</formula>
    </cfRule>
  </conditionalFormatting>
  <conditionalFormatting sqref="C24:C48">
    <cfRule type="cellIs" dxfId="34" priority="49" stopIfTrue="1" operator="equal">
      <formula>0</formula>
    </cfRule>
  </conditionalFormatting>
  <conditionalFormatting sqref="P24:Q24">
    <cfRule type="cellIs" dxfId="33" priority="47" stopIfTrue="1" operator="equal">
      <formula>0.0000001</formula>
    </cfRule>
  </conditionalFormatting>
  <conditionalFormatting sqref="J50:L50">
    <cfRule type="cellIs" dxfId="32" priority="40" operator="equal">
      <formula>0.05</formula>
    </cfRule>
  </conditionalFormatting>
  <conditionalFormatting sqref="Z25:Z48">
    <cfRule type="cellIs" dxfId="31" priority="37" operator="equal">
      <formula>10000000000.05</formula>
    </cfRule>
    <cfRule type="expression" dxfId="30" priority="39" stopIfTrue="1">
      <formula>"if(y249&lt;.1)"</formula>
    </cfRule>
  </conditionalFormatting>
  <conditionalFormatting sqref="Z25:Z48">
    <cfRule type="cellIs" dxfId="29" priority="38" operator="between">
      <formula>0</formula>
      <formula>0.06</formula>
    </cfRule>
  </conditionalFormatting>
  <conditionalFormatting sqref="U25:U48">
    <cfRule type="cellIs" dxfId="28" priority="34" stopIfTrue="1" operator="equal">
      <formula>"o"</formula>
    </cfRule>
  </conditionalFormatting>
  <conditionalFormatting sqref="V25:V48">
    <cfRule type="cellIs" dxfId="27" priority="33" stopIfTrue="1" operator="equal">
      <formula>"o"</formula>
    </cfRule>
  </conditionalFormatting>
  <conditionalFormatting sqref="P28:P48">
    <cfRule type="cellIs" dxfId="26" priority="22" stopIfTrue="1" operator="greaterThan">
      <formula>400000</formula>
    </cfRule>
  </conditionalFormatting>
  <conditionalFormatting sqref="P28:Q48">
    <cfRule type="cellIs" dxfId="25" priority="21" stopIfTrue="1" operator="equal">
      <formula>0.0000001</formula>
    </cfRule>
  </conditionalFormatting>
  <conditionalFormatting sqref="B52:Q52">
    <cfRule type="expression" dxfId="24" priority="16">
      <formula>R52&gt;0</formula>
    </cfRule>
    <cfRule type="expression" dxfId="23" priority="17">
      <formula>"if(ac259+$R$5)=0)"</formula>
    </cfRule>
  </conditionalFormatting>
  <conditionalFormatting sqref="W25:W48">
    <cfRule type="cellIs" dxfId="22" priority="15" stopIfTrue="1" operator="equal">
      <formula>"o"</formula>
    </cfRule>
  </conditionalFormatting>
  <conditionalFormatting sqref="P25:P27">
    <cfRule type="cellIs" dxfId="21" priority="8" stopIfTrue="1" operator="greaterThan">
      <formula>400000</formula>
    </cfRule>
  </conditionalFormatting>
  <conditionalFormatting sqref="P25:Q27">
    <cfRule type="cellIs" dxfId="20" priority="7" stopIfTrue="1" operator="equal">
      <formula>0.0000001</formula>
    </cfRule>
  </conditionalFormatting>
  <conditionalFormatting sqref="R25:R48">
    <cfRule type="expression" dxfId="19" priority="6" stopIfTrue="1">
      <formula>R25&gt;EW261</formula>
    </cfRule>
  </conditionalFormatting>
  <conditionalFormatting sqref="R25:R48">
    <cfRule type="expression" dxfId="18" priority="5" stopIfTrue="1">
      <formula>P25&lt;1</formula>
    </cfRule>
  </conditionalFormatting>
  <conditionalFormatting sqref="R24">
    <cfRule type="expression" dxfId="17" priority="4" stopIfTrue="1">
      <formula>R24&gt;EW260</formula>
    </cfRule>
  </conditionalFormatting>
  <conditionalFormatting sqref="R24">
    <cfRule type="expression" dxfId="16" priority="3" stopIfTrue="1">
      <formula>P24&lt;1</formula>
    </cfRule>
  </conditionalFormatting>
  <conditionalFormatting sqref="R24:S24">
    <cfRule type="expression" dxfId="15" priority="1">
      <formula>R24&lt;EW260</formula>
    </cfRule>
  </conditionalFormatting>
  <pageMargins left="0" right="0" top="0" bottom="0" header="0.5" footer="0.5"/>
  <pageSetup scale="77" orientation="portrait" r:id="rId1"/>
  <headerFooter alignWithMargins="0"/>
  <rowBreaks count="3" manualBreakCount="3">
    <brk id="93" max="27" man="1"/>
    <brk id="185" max="26" man="1"/>
    <brk id="238" min="1"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93"/>
  <sheetViews>
    <sheetView zoomScaleNormal="100" workbookViewId="0">
      <selection activeCell="J10" sqref="J10"/>
    </sheetView>
  </sheetViews>
  <sheetFormatPr defaultColWidth="8.85546875" defaultRowHeight="15" customHeight="1"/>
  <cols>
    <col min="1" max="1" width="1.5703125" style="215" customWidth="1"/>
    <col min="2" max="2" width="40.5703125" style="195" customWidth="1"/>
    <col min="3" max="3" width="6.140625" style="213" customWidth="1"/>
    <col min="4" max="4" width="5.140625" style="213" customWidth="1"/>
    <col min="5" max="5" width="10.5703125" style="220" customWidth="1"/>
    <col min="6" max="6" width="5.5703125" style="220" customWidth="1"/>
    <col min="7" max="7" width="18.7109375" style="220" customWidth="1"/>
    <col min="8" max="8" width="13.7109375" style="198" customWidth="1"/>
    <col min="9" max="9" width="1.28515625" style="199" customWidth="1"/>
    <col min="10" max="10" width="42" style="496" customWidth="1"/>
    <col min="11" max="11" width="8.85546875" style="496" customWidth="1"/>
    <col min="12" max="13" width="8.85546875" style="502" customWidth="1"/>
    <col min="14" max="14" width="13.140625" style="496" customWidth="1"/>
    <col min="15" max="23" width="8.85546875" style="496" customWidth="1"/>
    <col min="24" max="27" width="8.85546875" style="500"/>
    <col min="28" max="44" width="8.85546875" style="456"/>
    <col min="45" max="58" width="8.85546875" style="214"/>
    <col min="59" max="16384" width="8.85546875" style="215"/>
  </cols>
  <sheetData>
    <row r="1" spans="1:58" s="202" customFormat="1" ht="128.25" customHeight="1" thickBot="1">
      <c r="A1" s="226"/>
      <c r="B1" s="1174" t="s">
        <v>2</v>
      </c>
      <c r="C1" s="1175"/>
      <c r="D1" s="1175"/>
      <c r="E1" s="1175"/>
      <c r="F1" s="1175"/>
      <c r="G1" s="1175"/>
      <c r="H1" s="1175"/>
      <c r="I1" s="227"/>
      <c r="J1" s="491"/>
      <c r="K1" s="491"/>
      <c r="L1" s="492"/>
      <c r="M1" s="492"/>
      <c r="N1" s="491"/>
      <c r="O1" s="491"/>
      <c r="P1" s="491"/>
      <c r="Q1" s="491"/>
      <c r="R1" s="491"/>
      <c r="S1" s="491"/>
      <c r="T1" s="491"/>
      <c r="U1" s="491"/>
      <c r="V1" s="491"/>
      <c r="W1" s="491"/>
      <c r="X1" s="493"/>
      <c r="Y1" s="493"/>
      <c r="Z1" s="493"/>
      <c r="AA1" s="493"/>
      <c r="AB1" s="455"/>
      <c r="AC1" s="455"/>
      <c r="AD1" s="455"/>
      <c r="AE1" s="455"/>
      <c r="AF1" s="455"/>
      <c r="AG1" s="455"/>
      <c r="AH1" s="455"/>
      <c r="AI1" s="455"/>
      <c r="AJ1" s="455"/>
      <c r="AK1" s="455"/>
      <c r="AL1" s="455"/>
      <c r="AM1" s="455"/>
      <c r="AN1" s="455"/>
      <c r="AO1" s="455"/>
      <c r="AP1" s="455"/>
      <c r="AQ1" s="455"/>
      <c r="AR1" s="455"/>
      <c r="AS1" s="201"/>
      <c r="AT1" s="201"/>
      <c r="AU1" s="201"/>
      <c r="AV1" s="201"/>
      <c r="AW1" s="201"/>
      <c r="AX1" s="201"/>
      <c r="AY1" s="201"/>
      <c r="AZ1" s="201"/>
      <c r="BA1" s="201"/>
      <c r="BB1" s="201"/>
      <c r="BC1" s="201"/>
      <c r="BD1" s="201"/>
      <c r="BE1" s="201"/>
      <c r="BF1" s="201"/>
    </row>
    <row r="2" spans="1:58" s="202" customFormat="1" ht="47.25" customHeight="1" thickBot="1">
      <c r="A2" s="228"/>
      <c r="B2" s="203" t="s">
        <v>183</v>
      </c>
      <c r="C2" s="1176" t="s">
        <v>2</v>
      </c>
      <c r="D2" s="1177"/>
      <c r="E2" s="1177"/>
      <c r="F2" s="1177"/>
      <c r="G2" s="1177"/>
      <c r="H2" s="1178"/>
      <c r="I2" s="229"/>
      <c r="J2" s="491"/>
      <c r="K2" s="491"/>
      <c r="L2" s="492"/>
      <c r="M2" s="492"/>
      <c r="N2" s="491"/>
      <c r="O2" s="491"/>
      <c r="P2" s="491"/>
      <c r="Q2" s="491"/>
      <c r="R2" s="491"/>
      <c r="S2" s="491"/>
      <c r="T2" s="491"/>
      <c r="U2" s="491"/>
      <c r="V2" s="491"/>
      <c r="W2" s="491"/>
      <c r="X2" s="493"/>
      <c r="Y2" s="493"/>
      <c r="Z2" s="493"/>
      <c r="AA2" s="493"/>
      <c r="AB2" s="455"/>
      <c r="AC2" s="455"/>
      <c r="AD2" s="455"/>
      <c r="AE2" s="455"/>
      <c r="AF2" s="455"/>
      <c r="AG2" s="455"/>
      <c r="AH2" s="455"/>
      <c r="AI2" s="455"/>
      <c r="AJ2" s="455"/>
      <c r="AK2" s="455"/>
      <c r="AL2" s="455"/>
      <c r="AM2" s="455"/>
      <c r="AN2" s="455"/>
      <c r="AO2" s="455"/>
      <c r="AP2" s="455"/>
      <c r="AQ2" s="455"/>
      <c r="AR2" s="455"/>
      <c r="AS2" s="201"/>
      <c r="AT2" s="201"/>
      <c r="AU2" s="201"/>
      <c r="AV2" s="201"/>
      <c r="AW2" s="201"/>
      <c r="AX2" s="201"/>
      <c r="AY2" s="201"/>
      <c r="AZ2" s="201"/>
      <c r="BA2" s="201"/>
      <c r="BB2" s="201"/>
      <c r="BC2" s="201"/>
      <c r="BD2" s="201"/>
      <c r="BE2" s="201"/>
      <c r="BF2" s="201"/>
    </row>
    <row r="3" spans="1:58" s="202" customFormat="1" ht="12.75" hidden="1">
      <c r="A3" s="228"/>
      <c r="B3" s="204" t="s">
        <v>2</v>
      </c>
      <c r="C3" s="230"/>
      <c r="D3" s="230"/>
      <c r="E3" s="230"/>
      <c r="F3" s="206"/>
      <c r="G3" s="206"/>
      <c r="H3" s="200"/>
      <c r="I3" s="229"/>
      <c r="J3" s="491"/>
      <c r="K3" s="491"/>
      <c r="L3" s="492"/>
      <c r="M3" s="492"/>
      <c r="N3" s="491"/>
      <c r="O3" s="491"/>
      <c r="P3" s="491"/>
      <c r="Q3" s="491"/>
      <c r="R3" s="491"/>
      <c r="S3" s="491"/>
      <c r="T3" s="491"/>
      <c r="U3" s="491"/>
      <c r="V3" s="491"/>
      <c r="W3" s="491"/>
      <c r="X3" s="493"/>
      <c r="Y3" s="493"/>
      <c r="Z3" s="493"/>
      <c r="AA3" s="493"/>
      <c r="AB3" s="455"/>
      <c r="AC3" s="455"/>
      <c r="AD3" s="455"/>
      <c r="AE3" s="455"/>
      <c r="AF3" s="455"/>
      <c r="AG3" s="455"/>
      <c r="AH3" s="455"/>
      <c r="AI3" s="455"/>
      <c r="AJ3" s="455"/>
      <c r="AK3" s="455"/>
      <c r="AL3" s="455"/>
      <c r="AM3" s="455"/>
      <c r="AN3" s="455"/>
      <c r="AO3" s="455"/>
      <c r="AP3" s="455"/>
      <c r="AQ3" s="455"/>
      <c r="AR3" s="455"/>
      <c r="AS3" s="201"/>
      <c r="AT3" s="201"/>
      <c r="AU3" s="201"/>
      <c r="AV3" s="201"/>
      <c r="AW3" s="201"/>
      <c r="AX3" s="201"/>
      <c r="AY3" s="201"/>
      <c r="AZ3" s="201"/>
      <c r="BA3" s="201"/>
      <c r="BB3" s="201"/>
      <c r="BC3" s="201"/>
      <c r="BD3" s="201"/>
      <c r="BE3" s="201"/>
      <c r="BF3" s="201"/>
    </row>
    <row r="4" spans="1:58" s="202" customFormat="1" ht="2.25" customHeight="1">
      <c r="A4" s="228"/>
      <c r="B4" s="205" t="s">
        <v>2</v>
      </c>
      <c r="C4" s="231" t="s">
        <v>2</v>
      </c>
      <c r="D4" s="230"/>
      <c r="E4" s="230"/>
      <c r="F4" s="206"/>
      <c r="G4" s="206"/>
      <c r="H4" s="200"/>
      <c r="I4" s="229"/>
      <c r="J4" s="491"/>
      <c r="K4" s="491"/>
      <c r="L4" s="492"/>
      <c r="M4" s="492"/>
      <c r="N4" s="491"/>
      <c r="O4" s="491"/>
      <c r="P4" s="491"/>
      <c r="Q4" s="491"/>
      <c r="R4" s="491"/>
      <c r="S4" s="491"/>
      <c r="T4" s="491"/>
      <c r="U4" s="491"/>
      <c r="V4" s="491"/>
      <c r="W4" s="491"/>
      <c r="X4" s="493"/>
      <c r="Y4" s="493"/>
      <c r="Z4" s="493"/>
      <c r="AA4" s="493"/>
      <c r="AB4" s="455"/>
      <c r="AC4" s="455"/>
      <c r="AD4" s="455"/>
      <c r="AE4" s="455"/>
      <c r="AF4" s="455"/>
      <c r="AG4" s="455"/>
      <c r="AH4" s="455"/>
      <c r="AI4" s="455"/>
      <c r="AJ4" s="455"/>
      <c r="AK4" s="455"/>
      <c r="AL4" s="455"/>
      <c r="AM4" s="455"/>
      <c r="AN4" s="455"/>
      <c r="AO4" s="455"/>
      <c r="AP4" s="455"/>
      <c r="AQ4" s="455"/>
      <c r="AR4" s="455"/>
      <c r="AS4" s="201"/>
      <c r="AT4" s="201"/>
      <c r="AU4" s="201"/>
      <c r="AV4" s="201"/>
      <c r="AW4" s="201"/>
      <c r="AX4" s="201"/>
      <c r="AY4" s="201"/>
      <c r="AZ4" s="201"/>
      <c r="BA4" s="201"/>
      <c r="BB4" s="201"/>
      <c r="BC4" s="201"/>
      <c r="BD4" s="201"/>
      <c r="BE4" s="201"/>
      <c r="BF4" s="201"/>
    </row>
    <row r="5" spans="1:58" s="202" customFormat="1" ht="17.25" customHeight="1" thickBot="1">
      <c r="A5" s="228"/>
      <c r="B5" s="205"/>
      <c r="C5" s="230"/>
      <c r="D5" s="230"/>
      <c r="E5" s="230"/>
      <c r="F5" s="206"/>
      <c r="G5" s="206"/>
      <c r="H5" s="200"/>
      <c r="I5" s="229"/>
      <c r="J5" s="491"/>
      <c r="K5" s="491"/>
      <c r="L5" s="492"/>
      <c r="M5" s="492"/>
      <c r="N5" s="491"/>
      <c r="O5" s="491"/>
      <c r="P5" s="491"/>
      <c r="Q5" s="491"/>
      <c r="R5" s="491"/>
      <c r="S5" s="491"/>
      <c r="T5" s="491"/>
      <c r="U5" s="491"/>
      <c r="V5" s="491"/>
      <c r="W5" s="491"/>
      <c r="X5" s="493"/>
      <c r="Y5" s="493"/>
      <c r="Z5" s="493"/>
      <c r="AA5" s="493"/>
      <c r="AB5" s="455"/>
      <c r="AC5" s="455"/>
      <c r="AD5" s="455"/>
      <c r="AE5" s="455"/>
      <c r="AF5" s="455"/>
      <c r="AG5" s="455"/>
      <c r="AH5" s="455"/>
      <c r="AI5" s="455"/>
      <c r="AJ5" s="455"/>
      <c r="AK5" s="455"/>
      <c r="AL5" s="455"/>
      <c r="AM5" s="455"/>
      <c r="AN5" s="455"/>
      <c r="AO5" s="455"/>
      <c r="AP5" s="455"/>
      <c r="AQ5" s="455"/>
      <c r="AR5" s="455"/>
      <c r="AS5" s="201"/>
      <c r="AT5" s="201"/>
      <c r="AU5" s="201"/>
      <c r="AV5" s="201"/>
      <c r="AW5" s="201"/>
      <c r="AX5" s="201"/>
      <c r="AY5" s="201"/>
      <c r="AZ5" s="201"/>
      <c r="BA5" s="201"/>
      <c r="BB5" s="201"/>
      <c r="BC5" s="201"/>
      <c r="BD5" s="201"/>
      <c r="BE5" s="201"/>
      <c r="BF5" s="201"/>
    </row>
    <row r="6" spans="1:58" s="202" customFormat="1" ht="45" customHeight="1" thickBot="1">
      <c r="A6" s="228"/>
      <c r="B6" s="221" t="str">
        <f>PROPOSITION!F8</f>
        <v xml:space="preserve"> </v>
      </c>
      <c r="C6" s="1179" t="s">
        <v>467</v>
      </c>
      <c r="D6" s="1180"/>
      <c r="E6" s="1182">
        <f>PROPOSITION!U10</f>
        <v>0</v>
      </c>
      <c r="F6" s="1183"/>
      <c r="G6" s="211" t="s">
        <v>468</v>
      </c>
      <c r="H6" s="223" t="str">
        <f>PROPOSITION!F15</f>
        <v xml:space="preserve"> </v>
      </c>
      <c r="I6" s="232"/>
      <c r="J6" s="491"/>
      <c r="K6" s="491"/>
      <c r="L6" s="492"/>
      <c r="M6" s="492"/>
      <c r="N6" s="491"/>
      <c r="O6" s="491"/>
      <c r="P6" s="491"/>
      <c r="Q6" s="491"/>
      <c r="R6" s="491"/>
      <c r="S6" s="491"/>
      <c r="T6" s="491"/>
      <c r="U6" s="491"/>
      <c r="V6" s="491"/>
      <c r="W6" s="491"/>
      <c r="X6" s="493"/>
      <c r="Y6" s="493"/>
      <c r="Z6" s="493"/>
      <c r="AA6" s="493"/>
      <c r="AB6" s="455"/>
      <c r="AC6" s="455"/>
      <c r="AD6" s="455"/>
      <c r="AE6" s="455"/>
      <c r="AF6" s="455"/>
      <c r="AG6" s="455"/>
      <c r="AH6" s="455"/>
      <c r="AI6" s="455"/>
      <c r="AJ6" s="455"/>
      <c r="AK6" s="455"/>
      <c r="AL6" s="455"/>
      <c r="AM6" s="455"/>
      <c r="AN6" s="455"/>
      <c r="AO6" s="455"/>
      <c r="AP6" s="455"/>
      <c r="AQ6" s="455"/>
      <c r="AR6" s="455"/>
      <c r="AS6" s="201"/>
      <c r="AT6" s="201"/>
      <c r="AU6" s="201"/>
      <c r="AV6" s="201"/>
      <c r="AW6" s="201"/>
      <c r="AX6" s="201"/>
      <c r="AY6" s="201"/>
      <c r="AZ6" s="201"/>
      <c r="BA6" s="201"/>
      <c r="BB6" s="201"/>
      <c r="BC6" s="201"/>
      <c r="BD6" s="201"/>
      <c r="BE6" s="201"/>
      <c r="BF6" s="201"/>
    </row>
    <row r="7" spans="1:58" s="202" customFormat="1" ht="13.5" thickBot="1">
      <c r="A7" s="228"/>
      <c r="B7" s="222" t="str">
        <f>PROPOSITION!F10</f>
        <v xml:space="preserve"> </v>
      </c>
      <c r="C7" s="208"/>
      <c r="D7" s="200"/>
      <c r="E7" s="209"/>
      <c r="F7" s="206"/>
      <c r="G7" s="210"/>
      <c r="H7" s="207"/>
      <c r="I7" s="232"/>
      <c r="J7" s="491">
        <v>8678</v>
      </c>
      <c r="K7" s="491"/>
      <c r="L7" s="492"/>
      <c r="M7" s="492"/>
      <c r="N7" s="491"/>
      <c r="O7" s="491"/>
      <c r="P7" s="491"/>
      <c r="Q7" s="491"/>
      <c r="R7" s="491"/>
      <c r="S7" s="491"/>
      <c r="T7" s="491"/>
      <c r="U7" s="491"/>
      <c r="V7" s="491"/>
      <c r="W7" s="491"/>
      <c r="X7" s="493"/>
      <c r="Y7" s="493"/>
      <c r="Z7" s="493"/>
      <c r="AA7" s="493"/>
      <c r="AB7" s="455"/>
      <c r="AC7" s="455"/>
      <c r="AD7" s="455"/>
      <c r="AE7" s="455"/>
      <c r="AF7" s="455"/>
      <c r="AG7" s="455"/>
      <c r="AH7" s="455"/>
      <c r="AI7" s="455"/>
      <c r="AJ7" s="455"/>
      <c r="AK7" s="455"/>
      <c r="AL7" s="455"/>
      <c r="AM7" s="455"/>
      <c r="AN7" s="455"/>
      <c r="AO7" s="455"/>
      <c r="AP7" s="455"/>
      <c r="AQ7" s="455"/>
      <c r="AR7" s="455"/>
      <c r="AS7" s="201"/>
      <c r="AT7" s="201"/>
      <c r="AU7" s="201"/>
      <c r="AV7" s="201"/>
      <c r="AW7" s="201"/>
      <c r="AX7" s="201"/>
      <c r="AY7" s="201"/>
      <c r="AZ7" s="201"/>
      <c r="BA7" s="201"/>
      <c r="BB7" s="201"/>
      <c r="BC7" s="201"/>
      <c r="BD7" s="201"/>
      <c r="BE7" s="201"/>
      <c r="BF7" s="201"/>
    </row>
    <row r="8" spans="1:58" s="202" customFormat="1" ht="38.25" customHeight="1" thickBot="1">
      <c r="A8" s="228"/>
      <c r="B8" s="222" t="str">
        <f>PROPOSITION!F11</f>
        <v xml:space="preserve"> </v>
      </c>
      <c r="C8" s="1179" t="s">
        <v>2</v>
      </c>
      <c r="D8" s="1181"/>
      <c r="E8" s="1181" t="s">
        <v>2</v>
      </c>
      <c r="F8" s="1181"/>
      <c r="G8" s="211" t="s">
        <v>469</v>
      </c>
      <c r="H8" s="600">
        <f>EQUIPEMENTS!U10</f>
        <v>30</v>
      </c>
      <c r="I8" s="233"/>
      <c r="J8" s="491"/>
      <c r="K8" s="491"/>
      <c r="L8" s="494"/>
      <c r="M8" s="494">
        <f>[3]RATER!D90</f>
        <v>0</v>
      </c>
      <c r="N8" s="495">
        <f>MAX((M8-2),0)</f>
        <v>0</v>
      </c>
      <c r="O8" s="495"/>
      <c r="P8" s="491"/>
      <c r="Q8" s="491"/>
      <c r="R8" s="491"/>
      <c r="S8" s="491"/>
      <c r="T8" s="491"/>
      <c r="U8" s="491"/>
      <c r="V8" s="491"/>
      <c r="W8" s="491"/>
      <c r="X8" s="493"/>
      <c r="Y8" s="493"/>
      <c r="Z8" s="493"/>
      <c r="AA8" s="493"/>
      <c r="AB8" s="455"/>
      <c r="AC8" s="455"/>
      <c r="AD8" s="455"/>
      <c r="AE8" s="455"/>
      <c r="AF8" s="455"/>
      <c r="AG8" s="455"/>
      <c r="AH8" s="455"/>
      <c r="AI8" s="455"/>
      <c r="AJ8" s="455"/>
      <c r="AK8" s="455"/>
      <c r="AL8" s="455"/>
      <c r="AM8" s="455"/>
      <c r="AN8" s="455"/>
      <c r="AO8" s="455"/>
      <c r="AP8" s="455"/>
      <c r="AQ8" s="455"/>
      <c r="AR8" s="455"/>
      <c r="AS8" s="201"/>
      <c r="AT8" s="201"/>
      <c r="AU8" s="201"/>
      <c r="AV8" s="201"/>
      <c r="AW8" s="201"/>
      <c r="AX8" s="201"/>
      <c r="AY8" s="201"/>
      <c r="AZ8" s="201"/>
      <c r="BA8" s="201"/>
      <c r="BB8" s="201"/>
      <c r="BC8" s="201"/>
      <c r="BD8" s="201"/>
      <c r="BE8" s="201"/>
      <c r="BF8" s="201"/>
    </row>
    <row r="9" spans="1:58" s="202" customFormat="1" ht="18" customHeight="1" thickBot="1">
      <c r="A9" s="228"/>
      <c r="B9" s="212" t="s">
        <v>470</v>
      </c>
      <c r="C9" s="208"/>
      <c r="D9" s="200"/>
      <c r="E9" s="209"/>
      <c r="F9" s="209"/>
      <c r="G9" s="209"/>
      <c r="H9" s="209"/>
      <c r="I9" s="234"/>
      <c r="J9" s="491"/>
      <c r="K9" s="491"/>
      <c r="L9" s="494"/>
      <c r="M9" s="494"/>
      <c r="N9" s="495"/>
      <c r="O9" s="495"/>
      <c r="P9" s="491"/>
      <c r="Q9" s="491"/>
      <c r="R9" s="491"/>
      <c r="S9" s="491"/>
      <c r="T9" s="491"/>
      <c r="U9" s="491"/>
      <c r="V9" s="491"/>
      <c r="W9" s="491"/>
      <c r="X9" s="493"/>
      <c r="Y9" s="493"/>
      <c r="Z9" s="493"/>
      <c r="AA9" s="493"/>
      <c r="AB9" s="455"/>
      <c r="AC9" s="455"/>
      <c r="AD9" s="455"/>
      <c r="AE9" s="455"/>
      <c r="AF9" s="455"/>
      <c r="AG9" s="455"/>
      <c r="AH9" s="455"/>
      <c r="AI9" s="455"/>
      <c r="AJ9" s="455"/>
      <c r="AK9" s="455"/>
      <c r="AL9" s="455"/>
      <c r="AM9" s="455"/>
      <c r="AN9" s="455"/>
      <c r="AO9" s="455"/>
      <c r="AP9" s="455"/>
      <c r="AQ9" s="455"/>
      <c r="AR9" s="455"/>
      <c r="AS9" s="201"/>
      <c r="AT9" s="201"/>
      <c r="AU9" s="201"/>
      <c r="AV9" s="201"/>
      <c r="AW9" s="201"/>
      <c r="AX9" s="201"/>
      <c r="AY9" s="201"/>
      <c r="AZ9" s="201"/>
      <c r="BA9" s="201"/>
      <c r="BB9" s="201"/>
      <c r="BC9" s="201"/>
      <c r="BD9" s="201"/>
      <c r="BE9" s="201"/>
      <c r="BF9" s="201"/>
    </row>
    <row r="10" spans="1:58" s="202" customFormat="1" ht="36.75" customHeight="1" thickBot="1">
      <c r="A10" s="228"/>
      <c r="B10" s="225"/>
      <c r="C10" s="208"/>
      <c r="D10" s="200"/>
      <c r="E10" s="1184" t="str">
        <f>PROPOSITION!U8</f>
        <v xml:space="preserve"> </v>
      </c>
      <c r="F10" s="1185"/>
      <c r="G10" s="1185"/>
      <c r="H10" s="1186"/>
      <c r="I10" s="233"/>
      <c r="J10" s="491"/>
      <c r="K10" s="491"/>
      <c r="L10" s="494"/>
      <c r="M10" s="494"/>
      <c r="N10" s="495"/>
      <c r="O10" s="495"/>
      <c r="P10" s="491"/>
      <c r="Q10" s="491"/>
      <c r="R10" s="491"/>
      <c r="S10" s="491"/>
      <c r="T10" s="491"/>
      <c r="U10" s="491"/>
      <c r="V10" s="491"/>
      <c r="W10" s="491"/>
      <c r="X10" s="493"/>
      <c r="Y10" s="493"/>
      <c r="Z10" s="493"/>
      <c r="AA10" s="493"/>
      <c r="AB10" s="455"/>
      <c r="AC10" s="455"/>
      <c r="AD10" s="455"/>
      <c r="AE10" s="455"/>
      <c r="AF10" s="455"/>
      <c r="AG10" s="455"/>
      <c r="AH10" s="455"/>
      <c r="AI10" s="455"/>
      <c r="AJ10" s="455"/>
      <c r="AK10" s="455"/>
      <c r="AL10" s="455"/>
      <c r="AM10" s="455"/>
      <c r="AN10" s="455"/>
      <c r="AO10" s="455"/>
      <c r="AP10" s="455"/>
      <c r="AQ10" s="455"/>
      <c r="AR10" s="455"/>
      <c r="AS10" s="201"/>
      <c r="AT10" s="201"/>
      <c r="AU10" s="201"/>
      <c r="AV10" s="201"/>
      <c r="AW10" s="201"/>
      <c r="AX10" s="201"/>
      <c r="AY10" s="201"/>
      <c r="AZ10" s="201"/>
      <c r="BA10" s="201"/>
      <c r="BB10" s="201"/>
      <c r="BC10" s="201"/>
      <c r="BD10" s="201"/>
      <c r="BE10" s="201"/>
      <c r="BF10" s="201"/>
    </row>
    <row r="11" spans="1:58" s="202" customFormat="1" ht="14.45" customHeight="1" thickBot="1">
      <c r="A11" s="228"/>
      <c r="B11" s="204"/>
      <c r="C11" s="208"/>
      <c r="D11" s="200"/>
      <c r="E11" s="1188" t="s">
        <v>479</v>
      </c>
      <c r="F11" s="1188"/>
      <c r="G11" s="1188"/>
      <c r="H11" s="568">
        <f>PROPOSITION!U13</f>
        <v>0</v>
      </c>
      <c r="I11" s="232"/>
      <c r="J11" s="491"/>
      <c r="K11" s="491"/>
      <c r="L11" s="494">
        <f>EQUIPEMENTS!A49</f>
        <v>0</v>
      </c>
      <c r="M11" s="494"/>
      <c r="N11" s="495"/>
      <c r="O11" s="495"/>
      <c r="P11" s="491"/>
      <c r="Q11" s="491"/>
      <c r="R11" s="491"/>
      <c r="S11" s="491"/>
      <c r="T11" s="491"/>
      <c r="U11" s="491"/>
      <c r="V11" s="491"/>
      <c r="W11" s="491"/>
      <c r="X11" s="493"/>
      <c r="Y11" s="493"/>
      <c r="Z11" s="493"/>
      <c r="AA11" s="493"/>
      <c r="AB11" s="455"/>
      <c r="AC11" s="455"/>
      <c r="AD11" s="455"/>
      <c r="AE11" s="455"/>
      <c r="AF11" s="455"/>
      <c r="AG11" s="455"/>
      <c r="AH11" s="455"/>
      <c r="AI11" s="455"/>
      <c r="AJ11" s="455"/>
      <c r="AK11" s="455"/>
      <c r="AL11" s="455"/>
      <c r="AM11" s="455"/>
      <c r="AN11" s="455"/>
      <c r="AO11" s="455"/>
      <c r="AP11" s="455"/>
      <c r="AQ11" s="455"/>
      <c r="AR11" s="455"/>
      <c r="AS11" s="201"/>
      <c r="AT11" s="201"/>
      <c r="AU11" s="201"/>
      <c r="AV11" s="201"/>
      <c r="AW11" s="201"/>
      <c r="AX11" s="201"/>
      <c r="AY11" s="201"/>
      <c r="AZ11" s="201"/>
      <c r="BA11" s="201"/>
      <c r="BB11" s="201"/>
      <c r="BC11" s="201"/>
      <c r="BD11" s="201"/>
      <c r="BE11" s="201"/>
      <c r="BF11" s="201"/>
    </row>
    <row r="12" spans="1:58" ht="15" customHeight="1">
      <c r="A12" s="235"/>
      <c r="C12" s="196"/>
      <c r="D12" s="196"/>
      <c r="E12" s="197"/>
      <c r="F12" s="197"/>
      <c r="G12" s="197"/>
      <c r="I12" s="236"/>
      <c r="K12" s="497" t="s">
        <v>184</v>
      </c>
      <c r="L12" s="498" t="str">
        <f>PROPOSITION!C117</f>
        <v>x</v>
      </c>
      <c r="M12" s="498" t="s">
        <v>2</v>
      </c>
      <c r="N12" s="499" t="s">
        <v>2</v>
      </c>
      <c r="O12" s="499"/>
    </row>
    <row r="13" spans="1:58" ht="15" customHeight="1">
      <c r="A13" s="235"/>
      <c r="C13" s="1172" t="s">
        <v>478</v>
      </c>
      <c r="D13" s="1187"/>
      <c r="E13" s="1187"/>
      <c r="F13" s="209"/>
      <c r="G13" s="209" t="s">
        <v>447</v>
      </c>
      <c r="H13" s="198" t="s">
        <v>588</v>
      </c>
      <c r="I13" s="236"/>
      <c r="K13" s="499" t="s">
        <v>185</v>
      </c>
      <c r="L13" s="498" t="str">
        <f>PROPOSITION!C115</f>
        <v xml:space="preserve"> </v>
      </c>
      <c r="M13" s="498">
        <f>IF(L13="X",500,0)</f>
        <v>0</v>
      </c>
      <c r="N13" s="499">
        <f>IF(L13="X",1000000,0)</f>
        <v>0</v>
      </c>
      <c r="O13" s="499"/>
    </row>
    <row r="14" spans="1:58" ht="9.75" customHeight="1" thickBot="1">
      <c r="A14" s="235"/>
      <c r="C14" s="216"/>
      <c r="D14" s="217"/>
      <c r="E14" s="217"/>
      <c r="F14" s="209"/>
      <c r="G14" s="209"/>
      <c r="I14" s="236"/>
      <c r="K14" s="499" t="s">
        <v>186</v>
      </c>
      <c r="L14" s="498" t="str">
        <f>PROPOSITION!C111</f>
        <v xml:space="preserve"> </v>
      </c>
      <c r="M14" s="498"/>
      <c r="N14" s="499">
        <f>IF(L14="X",250000,0)</f>
        <v>0</v>
      </c>
      <c r="O14" s="499"/>
    </row>
    <row r="15" spans="1:58" ht="15" customHeight="1" thickBot="1">
      <c r="A15" s="235"/>
      <c r="B15" s="565" t="s">
        <v>407</v>
      </c>
      <c r="C15" s="1157">
        <f>N22</f>
        <v>0</v>
      </c>
      <c r="D15" s="1158"/>
      <c r="E15" s="1159"/>
      <c r="F15" s="197"/>
      <c r="G15" s="567">
        <f>O22</f>
        <v>0</v>
      </c>
      <c r="H15" s="692" t="s">
        <v>589</v>
      </c>
      <c r="I15" s="236"/>
      <c r="K15" s="499" t="s">
        <v>187</v>
      </c>
      <c r="L15" s="498" t="str">
        <f>PROPOSITION!C113</f>
        <v xml:space="preserve"> </v>
      </c>
      <c r="M15" s="498" t="s">
        <v>2</v>
      </c>
      <c r="N15" s="499">
        <f>IF(L15="X",500000,0)</f>
        <v>0</v>
      </c>
      <c r="O15" s="499"/>
    </row>
    <row r="16" spans="1:58" ht="10.5" customHeight="1" thickBot="1">
      <c r="A16" s="235"/>
      <c r="B16" s="565"/>
      <c r="C16" s="237"/>
      <c r="D16" s="237"/>
      <c r="E16" s="219"/>
      <c r="F16" s="197"/>
      <c r="G16" s="219"/>
      <c r="I16" s="236"/>
      <c r="K16" s="499"/>
      <c r="L16" s="498"/>
      <c r="M16" s="498">
        <f>SUM(M12:M15)</f>
        <v>0</v>
      </c>
      <c r="N16" s="501">
        <f>SUM(N12:N15)</f>
        <v>0</v>
      </c>
      <c r="O16" s="499"/>
    </row>
    <row r="17" spans="1:58" ht="15" customHeight="1" thickBot="1">
      <c r="A17" s="235"/>
      <c r="B17" s="565" t="s">
        <v>471</v>
      </c>
      <c r="C17" s="1157">
        <f>C15</f>
        <v>0</v>
      </c>
      <c r="D17" s="1158"/>
      <c r="E17" s="1159"/>
      <c r="F17" s="197"/>
      <c r="G17" s="224" t="s">
        <v>188</v>
      </c>
      <c r="H17" s="691" t="str">
        <f>$H$15</f>
        <v xml:space="preserve"> 1000$</v>
      </c>
      <c r="I17" s="236"/>
      <c r="K17" s="499" t="s">
        <v>189</v>
      </c>
      <c r="L17" s="498" t="str">
        <f>PROPOSITION!C101</f>
        <v xml:space="preserve"> </v>
      </c>
      <c r="M17" s="498"/>
      <c r="N17" s="499">
        <f>IF(L17="X",1000000,0)</f>
        <v>0</v>
      </c>
      <c r="O17" s="499">
        <f>IF(L17="X",(MAX($L$11*188,500)),0)</f>
        <v>0</v>
      </c>
    </row>
    <row r="18" spans="1:58" ht="10.5" customHeight="1" thickBot="1">
      <c r="A18" s="235"/>
      <c r="B18" s="565"/>
      <c r="C18" s="237"/>
      <c r="D18" s="237"/>
      <c r="E18" s="219"/>
      <c r="F18" s="197"/>
      <c r="G18" s="219"/>
      <c r="I18" s="236"/>
      <c r="K18" s="499" t="s">
        <v>190</v>
      </c>
      <c r="L18" s="498" t="str">
        <f>PROPOSITION!C103</f>
        <v xml:space="preserve"> </v>
      </c>
      <c r="M18" s="498"/>
      <c r="N18" s="499">
        <f>IF(L18="X",2000000,0)</f>
        <v>0</v>
      </c>
      <c r="O18" s="499">
        <f>IF(L18="X",(MAX($L$11*263,625)),0)</f>
        <v>0</v>
      </c>
    </row>
    <row r="19" spans="1:58" ht="15" customHeight="1" thickBot="1">
      <c r="A19" s="235"/>
      <c r="B19" s="565" t="s">
        <v>472</v>
      </c>
      <c r="C19" s="1157">
        <f>N16</f>
        <v>0</v>
      </c>
      <c r="D19" s="1158"/>
      <c r="E19" s="1159"/>
      <c r="F19" s="197"/>
      <c r="G19" s="224" t="str">
        <f>IF(M16&gt;0,M16,"INCL")</f>
        <v>INCL</v>
      </c>
      <c r="H19" s="691" t="str">
        <f>$H$15</f>
        <v xml:space="preserve"> 1000$</v>
      </c>
      <c r="I19" s="236"/>
      <c r="K19" s="499" t="s">
        <v>191</v>
      </c>
      <c r="L19" s="498" t="str">
        <f>PROPOSITION!C105</f>
        <v xml:space="preserve"> </v>
      </c>
      <c r="M19" s="498"/>
      <c r="N19" s="499">
        <f>IF(L19="X",3000000,0)</f>
        <v>0</v>
      </c>
      <c r="O19" s="499">
        <f>IF(L19="X",(MAX($L$11*325,750)),0)</f>
        <v>0</v>
      </c>
    </row>
    <row r="20" spans="1:58" ht="10.5" customHeight="1" thickBot="1">
      <c r="A20" s="235"/>
      <c r="B20" s="565"/>
      <c r="C20" s="237"/>
      <c r="D20" s="237"/>
      <c r="E20" s="219"/>
      <c r="F20" s="197"/>
      <c r="G20" s="219"/>
      <c r="I20" s="236"/>
      <c r="K20" s="499" t="s">
        <v>192</v>
      </c>
      <c r="L20" s="498" t="str">
        <f>PROPOSITION!C107</f>
        <v xml:space="preserve"> </v>
      </c>
      <c r="M20" s="498"/>
      <c r="N20" s="499">
        <f>IF(L20="X",4000000,0)</f>
        <v>0</v>
      </c>
      <c r="O20" s="499">
        <f>IF(L20="X",(MAX($L$11*400,1200)),0)</f>
        <v>0</v>
      </c>
    </row>
    <row r="21" spans="1:58" ht="15" customHeight="1" thickBot="1">
      <c r="A21" s="235"/>
      <c r="B21" s="565" t="s">
        <v>473</v>
      </c>
      <c r="C21" s="1157">
        <v>250000</v>
      </c>
      <c r="D21" s="1158"/>
      <c r="E21" s="1159"/>
      <c r="F21" s="197"/>
      <c r="G21" s="224" t="s">
        <v>188</v>
      </c>
      <c r="H21" s="691" t="str">
        <f>$H$15</f>
        <v xml:space="preserve"> 1000$</v>
      </c>
      <c r="I21" s="236"/>
      <c r="K21" s="499" t="s">
        <v>193</v>
      </c>
      <c r="L21" s="498" t="str">
        <f>PROPOSITION!C109</f>
        <v xml:space="preserve"> </v>
      </c>
      <c r="M21" s="498"/>
      <c r="N21" s="499">
        <f>IF(L21="X",5000000,0)</f>
        <v>0</v>
      </c>
      <c r="O21" s="499">
        <f>IF(L21="X",(MAX($L$11*500,1500)),0)</f>
        <v>0</v>
      </c>
    </row>
    <row r="22" spans="1:58" ht="10.5" customHeight="1" thickBot="1">
      <c r="A22" s="235"/>
      <c r="B22" s="218"/>
      <c r="C22" s="237"/>
      <c r="D22" s="237"/>
      <c r="E22" s="219"/>
      <c r="F22" s="197"/>
      <c r="G22" s="219"/>
      <c r="I22" s="236"/>
      <c r="K22" s="499"/>
      <c r="L22" s="498" t="s">
        <v>2</v>
      </c>
      <c r="M22" s="498"/>
      <c r="N22" s="501">
        <f>SUM(N17:N21)</f>
        <v>0</v>
      </c>
      <c r="O22" s="501">
        <f>SUM(O17:O21)</f>
        <v>0</v>
      </c>
    </row>
    <row r="23" spans="1:58" ht="15" customHeight="1" thickBot="1">
      <c r="A23" s="235"/>
      <c r="B23" s="566" t="s">
        <v>474</v>
      </c>
      <c r="C23" s="1154" t="s">
        <v>2</v>
      </c>
      <c r="D23" s="1155"/>
      <c r="E23" s="1156"/>
      <c r="F23" s="197"/>
      <c r="G23" s="567" t="s">
        <v>2</v>
      </c>
      <c r="I23" s="236"/>
      <c r="K23" s="499"/>
      <c r="L23" s="498" t="s">
        <v>2</v>
      </c>
      <c r="M23" s="498"/>
      <c r="N23" s="499"/>
      <c r="O23" s="499"/>
    </row>
    <row r="24" spans="1:58" ht="10.5" customHeight="1" thickBot="1">
      <c r="A24" s="235"/>
      <c r="B24" s="218"/>
      <c r="C24" s="237"/>
      <c r="D24" s="237"/>
      <c r="E24" s="219"/>
      <c r="F24" s="197"/>
      <c r="G24" s="219"/>
      <c r="I24" s="236"/>
      <c r="K24" s="499"/>
      <c r="L24" s="498" t="s">
        <v>2</v>
      </c>
      <c r="M24" s="498"/>
      <c r="N24" s="501">
        <f>SUM(N19:N23)</f>
        <v>0</v>
      </c>
      <c r="O24" s="501">
        <f>SUM(O19:O23)</f>
        <v>0</v>
      </c>
    </row>
    <row r="25" spans="1:58" ht="15" customHeight="1" thickBot="1">
      <c r="A25" s="235"/>
      <c r="B25" s="218" t="s">
        <v>465</v>
      </c>
      <c r="C25" s="1154" t="str">
        <f>IF(C46=" ","",L32)</f>
        <v/>
      </c>
      <c r="D25" s="1155"/>
      <c r="E25" s="1156"/>
      <c r="F25" s="197"/>
      <c r="G25" s="567" t="str">
        <f>IF(C46=" ","",K33)</f>
        <v/>
      </c>
      <c r="I25" s="236"/>
      <c r="K25" s="499"/>
      <c r="L25" s="498" t="s">
        <v>2</v>
      </c>
      <c r="M25" s="498"/>
      <c r="N25" s="499"/>
      <c r="O25" s="499"/>
    </row>
    <row r="26" spans="1:58" ht="15" customHeight="1" thickBot="1">
      <c r="A26" s="235"/>
      <c r="C26" s="196"/>
      <c r="D26" s="196"/>
      <c r="E26" s="197"/>
      <c r="F26" s="197"/>
      <c r="G26" s="518">
        <f>SUM(G15:G23)</f>
        <v>0</v>
      </c>
      <c r="I26" s="236"/>
      <c r="L26" s="498"/>
      <c r="M26" s="498"/>
      <c r="N26" s="499"/>
      <c r="O26" s="499"/>
    </row>
    <row r="27" spans="1:58" ht="15" customHeight="1" thickBot="1">
      <c r="A27" s="235"/>
      <c r="B27" s="1169" t="s">
        <v>586</v>
      </c>
      <c r="C27" s="1157">
        <v>10000</v>
      </c>
      <c r="D27" s="1158"/>
      <c r="E27" s="1159"/>
      <c r="F27" s="197"/>
      <c r="G27" s="224" t="str">
        <f>IF(M24&gt;0,M24,"INCL")</f>
        <v>INCL</v>
      </c>
      <c r="H27" s="691" t="str">
        <f>$H$15</f>
        <v xml:space="preserve"> 1000$</v>
      </c>
      <c r="I27" s="236"/>
      <c r="L27" s="498"/>
      <c r="M27" s="498"/>
      <c r="N27" s="499"/>
      <c r="O27" s="499"/>
    </row>
    <row r="28" spans="1:58" s="625" customFormat="1" ht="15" customHeight="1" thickBot="1">
      <c r="A28" s="626"/>
      <c r="B28" s="1169"/>
      <c r="C28" s="622"/>
      <c r="D28" s="622"/>
      <c r="E28" s="623"/>
      <c r="F28" s="623"/>
      <c r="G28" s="209" t="s">
        <v>447</v>
      </c>
      <c r="H28" s="584"/>
      <c r="I28" s="627"/>
      <c r="J28" s="657"/>
      <c r="K28" s="657"/>
      <c r="L28" s="658"/>
      <c r="M28" s="658"/>
      <c r="N28" s="659"/>
      <c r="O28" s="659"/>
      <c r="P28" s="657"/>
      <c r="Q28" s="657"/>
      <c r="R28" s="657"/>
      <c r="S28" s="657"/>
      <c r="T28" s="657"/>
      <c r="U28" s="657"/>
      <c r="V28" s="657"/>
      <c r="W28" s="657"/>
      <c r="X28" s="660"/>
      <c r="Y28" s="660"/>
      <c r="Z28" s="660"/>
      <c r="AA28" s="660"/>
      <c r="AB28" s="651"/>
      <c r="AC28" s="651"/>
      <c r="AD28" s="651"/>
      <c r="AE28" s="651"/>
      <c r="AF28" s="651"/>
      <c r="AG28" s="651"/>
      <c r="AH28" s="651"/>
      <c r="AI28" s="651"/>
      <c r="AJ28" s="651"/>
      <c r="AK28" s="651"/>
      <c r="AL28" s="651"/>
      <c r="AM28" s="651"/>
      <c r="AN28" s="651"/>
      <c r="AO28" s="651"/>
      <c r="AP28" s="651"/>
      <c r="AQ28" s="651"/>
      <c r="AR28" s="651"/>
      <c r="AS28" s="624"/>
      <c r="AT28" s="624"/>
      <c r="AU28" s="624"/>
      <c r="AV28" s="624"/>
      <c r="AW28" s="624"/>
      <c r="AX28" s="624"/>
      <c r="AY28" s="624"/>
      <c r="AZ28" s="624"/>
      <c r="BA28" s="624"/>
      <c r="BB28" s="624"/>
      <c r="BC28" s="624"/>
      <c r="BD28" s="624"/>
      <c r="BE28" s="624"/>
      <c r="BF28" s="624"/>
    </row>
    <row r="29" spans="1:58" ht="15" customHeight="1" thickBot="1">
      <c r="A29" s="235"/>
      <c r="B29" s="1169"/>
      <c r="C29" s="196"/>
      <c r="D29" s="196"/>
      <c r="E29" s="197"/>
      <c r="F29" s="197"/>
      <c r="G29" s="567">
        <f>SUM(G15,G17,G19,G21,G23,G25)</f>
        <v>0</v>
      </c>
      <c r="I29" s="236"/>
      <c r="L29" s="498"/>
      <c r="M29" s="498"/>
      <c r="N29" s="499"/>
      <c r="O29" s="499"/>
    </row>
    <row r="30" spans="1:58" ht="15" customHeight="1">
      <c r="A30" s="235"/>
      <c r="B30" s="218"/>
      <c r="C30" s="196"/>
      <c r="D30" s="196"/>
      <c r="E30" s="196"/>
      <c r="F30" s="197"/>
      <c r="G30" s="518">
        <f>SUM(G15,G17,G19,G21,G23)</f>
        <v>0</v>
      </c>
      <c r="I30" s="236"/>
      <c r="K30" s="515">
        <f>IF(G30&lt;1000,20,0)</f>
        <v>20</v>
      </c>
      <c r="L30" s="516">
        <f>IF(G30&lt;1000,50000,0)</f>
        <v>50000</v>
      </c>
      <c r="M30" s="498"/>
      <c r="N30" s="499"/>
      <c r="O30" s="499"/>
    </row>
    <row r="31" spans="1:58" ht="15" customHeight="1" thickBot="1">
      <c r="A31" s="235"/>
      <c r="B31" s="218"/>
      <c r="C31" s="218"/>
      <c r="D31" s="1172"/>
      <c r="E31" s="1173"/>
      <c r="F31" s="197"/>
      <c r="G31" s="209" t="s">
        <v>476</v>
      </c>
      <c r="I31" s="236"/>
      <c r="K31" s="515">
        <f>MAX(G30*0.05,100)</f>
        <v>100</v>
      </c>
      <c r="L31" s="516">
        <f>IF(G30&gt;999,100000,0)</f>
        <v>0</v>
      </c>
      <c r="M31" s="498"/>
      <c r="N31" s="499"/>
      <c r="O31" s="499"/>
    </row>
    <row r="32" spans="1:58" ht="15" customHeight="1" thickBot="1">
      <c r="A32" s="235"/>
      <c r="C32" s="196"/>
      <c r="D32" s="196"/>
      <c r="E32" s="197"/>
      <c r="F32" s="519">
        <f>MAX(G29*0.05,50)</f>
        <v>50</v>
      </c>
      <c r="G32" s="567">
        <f>ROUNDUP(F32,-1)</f>
        <v>50</v>
      </c>
      <c r="I32" s="236"/>
      <c r="K32" s="515">
        <f>IF(G30&gt;999,K31,0)</f>
        <v>0</v>
      </c>
      <c r="L32" s="516">
        <f>SUM(L30:L31)</f>
        <v>50000</v>
      </c>
      <c r="M32" s="498"/>
      <c r="N32" s="499"/>
      <c r="O32" s="499"/>
    </row>
    <row r="33" spans="1:12" ht="10.5" customHeight="1">
      <c r="A33" s="235"/>
      <c r="C33" s="196"/>
      <c r="D33" s="196"/>
      <c r="E33" s="197"/>
      <c r="F33" s="197"/>
      <c r="G33" s="209"/>
      <c r="I33" s="236"/>
      <c r="K33" s="515">
        <f>SUM(K30,K32)</f>
        <v>20</v>
      </c>
      <c r="L33" s="517"/>
    </row>
    <row r="34" spans="1:12" ht="15" customHeight="1" thickBot="1">
      <c r="A34" s="235"/>
      <c r="C34" s="196"/>
      <c r="D34" s="196"/>
      <c r="E34" s="197"/>
      <c r="F34" s="197"/>
      <c r="G34" s="218" t="s">
        <v>475</v>
      </c>
      <c r="I34" s="236"/>
      <c r="K34" s="515"/>
      <c r="L34" s="517"/>
    </row>
    <row r="35" spans="1:12" ht="18.75" customHeight="1" thickBot="1">
      <c r="A35" s="235"/>
      <c r="C35" s="196"/>
      <c r="D35" s="196"/>
      <c r="E35" s="197"/>
      <c r="F35" s="197"/>
      <c r="G35" s="569">
        <f>SUM(G29,G32)</f>
        <v>50</v>
      </c>
      <c r="I35" s="236"/>
    </row>
    <row r="36" spans="1:12" ht="15" customHeight="1">
      <c r="A36" s="235"/>
      <c r="C36" s="196"/>
      <c r="D36" s="196"/>
      <c r="E36" s="197"/>
      <c r="F36" s="197"/>
      <c r="G36" s="197"/>
      <c r="I36" s="236"/>
    </row>
    <row r="37" spans="1:12" ht="8.25" customHeight="1" thickBot="1">
      <c r="A37" s="235"/>
      <c r="C37" s="196"/>
      <c r="D37" s="196"/>
      <c r="E37" s="197"/>
      <c r="F37" s="197"/>
      <c r="G37" s="197"/>
      <c r="I37" s="236"/>
    </row>
    <row r="38" spans="1:12" ht="11.25" customHeight="1">
      <c r="A38" s="235"/>
      <c r="B38" s="1160" t="s">
        <v>581</v>
      </c>
      <c r="C38" s="1161"/>
      <c r="D38" s="1161"/>
      <c r="E38" s="1161"/>
      <c r="F38" s="1161"/>
      <c r="G38" s="1161"/>
      <c r="H38" s="1162"/>
      <c r="I38" s="236"/>
    </row>
    <row r="39" spans="1:12" ht="15" customHeight="1">
      <c r="A39" s="235"/>
      <c r="B39" s="1163"/>
      <c r="C39" s="1164"/>
      <c r="D39" s="1164"/>
      <c r="E39" s="1164"/>
      <c r="F39" s="1164"/>
      <c r="G39" s="1164"/>
      <c r="H39" s="1165"/>
      <c r="I39" s="236"/>
    </row>
    <row r="40" spans="1:12" ht="15" customHeight="1">
      <c r="A40" s="235"/>
      <c r="B40" s="1163"/>
      <c r="C40" s="1164"/>
      <c r="D40" s="1164"/>
      <c r="E40" s="1164"/>
      <c r="F40" s="1164"/>
      <c r="G40" s="1164"/>
      <c r="H40" s="1165"/>
      <c r="I40" s="236"/>
    </row>
    <row r="41" spans="1:12" ht="3.75" customHeight="1">
      <c r="A41" s="235"/>
      <c r="B41" s="1163"/>
      <c r="C41" s="1164"/>
      <c r="D41" s="1164"/>
      <c r="E41" s="1164"/>
      <c r="F41" s="1164"/>
      <c r="G41" s="1164"/>
      <c r="H41" s="1165"/>
      <c r="I41" s="236"/>
    </row>
    <row r="42" spans="1:12" ht="15" customHeight="1">
      <c r="A42" s="235"/>
      <c r="B42" s="1163"/>
      <c r="C42" s="1164"/>
      <c r="D42" s="1164"/>
      <c r="E42" s="1164"/>
      <c r="F42" s="1164"/>
      <c r="G42" s="1164"/>
      <c r="H42" s="1165"/>
      <c r="I42" s="236"/>
    </row>
    <row r="43" spans="1:12" ht="6" customHeight="1" thickBot="1">
      <c r="A43" s="235"/>
      <c r="B43" s="1166"/>
      <c r="C43" s="1167"/>
      <c r="D43" s="1167"/>
      <c r="E43" s="1167"/>
      <c r="F43" s="1167"/>
      <c r="G43" s="1167"/>
      <c r="H43" s="1168"/>
      <c r="I43" s="236"/>
    </row>
    <row r="44" spans="1:12" ht="10.5" customHeight="1" thickBot="1">
      <c r="A44" s="238"/>
      <c r="B44" s="239"/>
      <c r="C44" s="240"/>
      <c r="D44" s="240"/>
      <c r="E44" s="241"/>
      <c r="F44" s="241"/>
      <c r="G44" s="241"/>
      <c r="H44" s="242"/>
      <c r="I44" s="243"/>
      <c r="J44" s="496">
        <v>8678</v>
      </c>
    </row>
    <row r="45" spans="1:12" ht="15" customHeight="1">
      <c r="E45" s="197"/>
      <c r="F45" s="197"/>
      <c r="G45" s="197"/>
      <c r="I45" s="198"/>
    </row>
    <row r="46" spans="1:12" ht="15" customHeight="1">
      <c r="C46" s="577" t="s">
        <v>2</v>
      </c>
      <c r="D46" s="1170" t="s">
        <v>477</v>
      </c>
      <c r="E46" s="1171"/>
      <c r="F46" s="197"/>
      <c r="G46" s="197"/>
      <c r="I46" s="198"/>
    </row>
    <row r="47" spans="1:12" ht="15" customHeight="1">
      <c r="E47" s="197"/>
      <c r="F47" s="197"/>
      <c r="G47" s="197"/>
      <c r="I47" s="198"/>
    </row>
    <row r="48" spans="1:12" ht="15" customHeight="1">
      <c r="E48" s="197"/>
      <c r="F48" s="197"/>
      <c r="G48" s="197"/>
      <c r="I48" s="198"/>
    </row>
    <row r="49" spans="5:9" ht="15" customHeight="1">
      <c r="E49" s="197"/>
      <c r="F49" s="197"/>
      <c r="G49" s="197"/>
      <c r="I49" s="198"/>
    </row>
    <row r="50" spans="5:9" ht="15" customHeight="1">
      <c r="E50" s="197"/>
      <c r="F50" s="197"/>
      <c r="G50" s="197"/>
      <c r="I50" s="198"/>
    </row>
    <row r="51" spans="5:9" ht="15" customHeight="1">
      <c r="E51" s="197"/>
      <c r="F51" s="197"/>
      <c r="G51" s="197"/>
      <c r="I51" s="198"/>
    </row>
    <row r="52" spans="5:9" ht="15" customHeight="1">
      <c r="E52" s="197"/>
      <c r="F52" s="197"/>
      <c r="G52" s="197"/>
      <c r="I52" s="198"/>
    </row>
    <row r="53" spans="5:9" ht="15" customHeight="1">
      <c r="E53" s="197"/>
      <c r="F53" s="197"/>
      <c r="G53" s="197"/>
      <c r="I53" s="198"/>
    </row>
    <row r="54" spans="5:9" ht="15" customHeight="1">
      <c r="E54" s="197"/>
      <c r="F54" s="197"/>
      <c r="G54" s="197"/>
      <c r="I54" s="198"/>
    </row>
    <row r="55" spans="5:9" ht="15" customHeight="1">
      <c r="E55" s="197"/>
      <c r="F55" s="197"/>
      <c r="G55" s="197"/>
      <c r="I55" s="198"/>
    </row>
    <row r="56" spans="5:9" ht="15" customHeight="1">
      <c r="E56" s="197"/>
      <c r="F56" s="197"/>
      <c r="G56" s="197"/>
      <c r="I56" s="198"/>
    </row>
    <row r="57" spans="5:9" ht="15" customHeight="1">
      <c r="E57" s="197"/>
      <c r="F57" s="197"/>
      <c r="G57" s="197"/>
      <c r="I57" s="198"/>
    </row>
    <row r="58" spans="5:9" ht="15" customHeight="1">
      <c r="E58" s="197"/>
      <c r="F58" s="197"/>
      <c r="G58" s="197"/>
      <c r="I58" s="198"/>
    </row>
    <row r="59" spans="5:9" ht="15" customHeight="1">
      <c r="E59" s="197"/>
      <c r="F59" s="197"/>
      <c r="G59" s="197"/>
      <c r="I59" s="198"/>
    </row>
    <row r="60" spans="5:9" ht="15" customHeight="1">
      <c r="E60" s="197"/>
      <c r="F60" s="197"/>
      <c r="G60" s="197"/>
      <c r="I60" s="198"/>
    </row>
    <row r="61" spans="5:9" ht="15" customHeight="1">
      <c r="E61" s="197"/>
      <c r="F61" s="197"/>
      <c r="G61" s="197"/>
      <c r="I61" s="198"/>
    </row>
    <row r="62" spans="5:9" ht="15" customHeight="1">
      <c r="E62" s="197"/>
      <c r="F62" s="197"/>
      <c r="G62" s="197"/>
      <c r="I62" s="198"/>
    </row>
    <row r="63" spans="5:9" ht="15" customHeight="1">
      <c r="E63" s="197"/>
      <c r="F63" s="197"/>
      <c r="G63" s="197"/>
      <c r="I63" s="198"/>
    </row>
    <row r="64" spans="5:9" ht="15" customHeight="1">
      <c r="E64" s="197"/>
      <c r="F64" s="197"/>
      <c r="G64" s="197"/>
      <c r="I64" s="198"/>
    </row>
    <row r="65" spans="5:9" ht="15" customHeight="1">
      <c r="E65" s="197"/>
      <c r="F65" s="197"/>
      <c r="G65" s="197"/>
      <c r="I65" s="198"/>
    </row>
    <row r="66" spans="5:9" ht="15" customHeight="1">
      <c r="E66" s="197"/>
      <c r="F66" s="197"/>
      <c r="G66" s="197"/>
      <c r="I66" s="198"/>
    </row>
    <row r="67" spans="5:9" ht="15" customHeight="1">
      <c r="E67" s="197"/>
      <c r="F67" s="197"/>
      <c r="G67" s="197"/>
      <c r="I67" s="198"/>
    </row>
    <row r="68" spans="5:9" ht="15" customHeight="1">
      <c r="E68" s="197"/>
      <c r="F68" s="197"/>
      <c r="G68" s="197"/>
      <c r="I68" s="198"/>
    </row>
    <row r="69" spans="5:9" ht="15" customHeight="1">
      <c r="E69" s="197"/>
      <c r="F69" s="197"/>
      <c r="G69" s="197"/>
      <c r="I69" s="198"/>
    </row>
    <row r="70" spans="5:9" ht="15" customHeight="1">
      <c r="E70" s="197"/>
      <c r="F70" s="197"/>
      <c r="G70" s="197"/>
      <c r="I70" s="198"/>
    </row>
    <row r="71" spans="5:9" ht="15" customHeight="1">
      <c r="E71" s="197"/>
      <c r="F71" s="197"/>
      <c r="G71" s="197"/>
      <c r="I71" s="198"/>
    </row>
    <row r="72" spans="5:9" ht="15" customHeight="1">
      <c r="E72" s="197"/>
      <c r="F72" s="197"/>
      <c r="G72" s="197"/>
      <c r="I72" s="198"/>
    </row>
    <row r="73" spans="5:9" ht="15" customHeight="1">
      <c r="E73" s="197"/>
      <c r="F73" s="197"/>
      <c r="G73" s="197"/>
      <c r="I73" s="198"/>
    </row>
    <row r="74" spans="5:9" ht="15" customHeight="1">
      <c r="E74" s="197"/>
      <c r="F74" s="197"/>
      <c r="G74" s="197"/>
      <c r="I74" s="198"/>
    </row>
    <row r="75" spans="5:9" ht="15" customHeight="1">
      <c r="E75" s="197"/>
      <c r="F75" s="197"/>
      <c r="G75" s="197"/>
      <c r="I75" s="198"/>
    </row>
    <row r="76" spans="5:9" ht="15" customHeight="1">
      <c r="E76" s="197"/>
      <c r="F76" s="197"/>
      <c r="G76" s="197"/>
      <c r="I76" s="198"/>
    </row>
    <row r="77" spans="5:9" ht="15" customHeight="1">
      <c r="E77" s="197"/>
      <c r="F77" s="197"/>
      <c r="G77" s="197"/>
      <c r="I77" s="198"/>
    </row>
    <row r="78" spans="5:9" ht="15" customHeight="1">
      <c r="E78" s="197"/>
      <c r="F78" s="197"/>
      <c r="G78" s="197"/>
      <c r="I78" s="198"/>
    </row>
    <row r="79" spans="5:9" ht="15" customHeight="1">
      <c r="E79" s="197"/>
      <c r="F79" s="197"/>
      <c r="G79" s="197"/>
      <c r="I79" s="198"/>
    </row>
    <row r="80" spans="5:9" ht="15" customHeight="1">
      <c r="E80" s="197"/>
      <c r="F80" s="197"/>
      <c r="G80" s="197"/>
      <c r="I80" s="198"/>
    </row>
    <row r="81" spans="5:9" ht="15" customHeight="1">
      <c r="E81" s="197"/>
      <c r="F81" s="197"/>
      <c r="G81" s="197"/>
      <c r="I81" s="198"/>
    </row>
    <row r="82" spans="5:9" ht="15" customHeight="1">
      <c r="E82" s="197"/>
      <c r="F82" s="197"/>
      <c r="G82" s="197"/>
      <c r="I82" s="198"/>
    </row>
    <row r="83" spans="5:9" ht="15" customHeight="1">
      <c r="E83" s="197"/>
      <c r="F83" s="197"/>
      <c r="G83" s="197"/>
      <c r="I83" s="198"/>
    </row>
    <row r="84" spans="5:9" ht="15" customHeight="1">
      <c r="E84" s="197"/>
      <c r="F84" s="197"/>
      <c r="G84" s="197"/>
      <c r="I84" s="198"/>
    </row>
    <row r="85" spans="5:9" ht="15" customHeight="1">
      <c r="E85" s="197"/>
      <c r="F85" s="197"/>
      <c r="G85" s="197"/>
      <c r="I85" s="198"/>
    </row>
    <row r="86" spans="5:9" ht="15" customHeight="1">
      <c r="E86" s="197"/>
      <c r="F86" s="197"/>
      <c r="G86" s="197"/>
      <c r="I86" s="198"/>
    </row>
    <row r="87" spans="5:9" ht="15" customHeight="1">
      <c r="E87" s="197"/>
      <c r="F87" s="197"/>
      <c r="G87" s="197"/>
      <c r="I87" s="198"/>
    </row>
    <row r="88" spans="5:9" ht="15" customHeight="1">
      <c r="E88" s="197"/>
      <c r="F88" s="197"/>
      <c r="G88" s="197"/>
      <c r="I88" s="198"/>
    </row>
    <row r="89" spans="5:9" ht="15" customHeight="1">
      <c r="E89" s="197"/>
      <c r="F89" s="197"/>
      <c r="G89" s="197"/>
      <c r="I89" s="198"/>
    </row>
    <row r="90" spans="5:9" ht="15" customHeight="1">
      <c r="E90" s="197"/>
      <c r="F90" s="197"/>
      <c r="G90" s="197"/>
      <c r="I90" s="198"/>
    </row>
    <row r="91" spans="5:9" ht="15" customHeight="1">
      <c r="E91" s="197"/>
      <c r="F91" s="197"/>
      <c r="G91" s="197"/>
      <c r="I91" s="198"/>
    </row>
    <row r="92" spans="5:9" ht="15" customHeight="1">
      <c r="E92" s="197"/>
      <c r="F92" s="197"/>
      <c r="G92" s="197"/>
      <c r="I92" s="198"/>
    </row>
    <row r="93" spans="5:9" ht="15" customHeight="1">
      <c r="E93" s="197"/>
      <c r="F93" s="197"/>
      <c r="G93" s="197"/>
      <c r="I93" s="198"/>
    </row>
    <row r="94" spans="5:9" ht="15" customHeight="1">
      <c r="E94" s="197"/>
      <c r="F94" s="197"/>
      <c r="G94" s="197"/>
      <c r="I94" s="198"/>
    </row>
    <row r="95" spans="5:9" ht="15" customHeight="1">
      <c r="E95" s="197"/>
      <c r="F95" s="197"/>
      <c r="G95" s="197"/>
      <c r="I95" s="198"/>
    </row>
    <row r="96" spans="5:9" ht="15" customHeight="1">
      <c r="E96" s="197"/>
      <c r="F96" s="197"/>
      <c r="G96" s="197"/>
      <c r="I96" s="198"/>
    </row>
    <row r="97" spans="5:9" ht="15" customHeight="1">
      <c r="E97" s="197"/>
      <c r="F97" s="197"/>
      <c r="G97" s="197"/>
      <c r="I97" s="198"/>
    </row>
    <row r="98" spans="5:9" ht="15" customHeight="1">
      <c r="E98" s="197"/>
      <c r="F98" s="197"/>
      <c r="G98" s="197"/>
      <c r="I98" s="198"/>
    </row>
    <row r="99" spans="5:9" ht="15" customHeight="1">
      <c r="E99" s="197"/>
      <c r="F99" s="197"/>
      <c r="G99" s="197"/>
      <c r="I99" s="198"/>
    </row>
    <row r="100" spans="5:9" ht="15" customHeight="1">
      <c r="E100" s="197"/>
      <c r="F100" s="197"/>
      <c r="G100" s="197"/>
      <c r="I100" s="198"/>
    </row>
    <row r="101" spans="5:9" ht="15" customHeight="1">
      <c r="E101" s="197"/>
      <c r="F101" s="197"/>
      <c r="G101" s="197"/>
      <c r="I101" s="198"/>
    </row>
    <row r="102" spans="5:9" ht="15" customHeight="1">
      <c r="E102" s="197"/>
      <c r="F102" s="197"/>
      <c r="G102" s="197"/>
      <c r="I102" s="198"/>
    </row>
    <row r="103" spans="5:9" ht="15" customHeight="1">
      <c r="E103" s="197"/>
      <c r="F103" s="197"/>
      <c r="G103" s="197"/>
      <c r="I103" s="198"/>
    </row>
    <row r="104" spans="5:9" ht="15" customHeight="1">
      <c r="E104" s="197"/>
      <c r="F104" s="197"/>
      <c r="G104" s="197"/>
      <c r="I104" s="198"/>
    </row>
    <row r="105" spans="5:9" ht="15" customHeight="1">
      <c r="E105" s="197"/>
      <c r="F105" s="197"/>
      <c r="G105" s="197"/>
      <c r="I105" s="198"/>
    </row>
    <row r="106" spans="5:9" ht="15" customHeight="1">
      <c r="E106" s="197"/>
      <c r="F106" s="197"/>
      <c r="G106" s="197"/>
      <c r="I106" s="198"/>
    </row>
    <row r="107" spans="5:9" ht="15" customHeight="1">
      <c r="E107" s="197"/>
      <c r="F107" s="197"/>
      <c r="G107" s="197"/>
      <c r="I107" s="198"/>
    </row>
    <row r="108" spans="5:9" ht="15" customHeight="1">
      <c r="E108" s="197"/>
      <c r="F108" s="197"/>
      <c r="G108" s="197"/>
      <c r="I108" s="198"/>
    </row>
    <row r="109" spans="5:9" ht="15" customHeight="1">
      <c r="E109" s="197"/>
      <c r="F109" s="197"/>
      <c r="G109" s="197"/>
      <c r="I109" s="198"/>
    </row>
    <row r="110" spans="5:9" ht="15" customHeight="1">
      <c r="E110" s="197"/>
      <c r="F110" s="197"/>
      <c r="G110" s="197"/>
      <c r="I110" s="198"/>
    </row>
    <row r="111" spans="5:9" ht="15" customHeight="1">
      <c r="E111" s="197"/>
      <c r="F111" s="197"/>
      <c r="G111" s="197"/>
      <c r="I111" s="198"/>
    </row>
    <row r="112" spans="5:9" ht="15" customHeight="1">
      <c r="E112" s="197"/>
      <c r="F112" s="197"/>
      <c r="G112" s="197"/>
      <c r="I112" s="198"/>
    </row>
    <row r="113" spans="5:9" ht="15" customHeight="1">
      <c r="E113" s="197"/>
      <c r="F113" s="197"/>
      <c r="G113" s="197"/>
      <c r="I113" s="198"/>
    </row>
    <row r="114" spans="5:9" ht="15" customHeight="1">
      <c r="E114" s="197"/>
      <c r="F114" s="197"/>
      <c r="G114" s="197"/>
      <c r="I114" s="198"/>
    </row>
    <row r="115" spans="5:9" ht="15" customHeight="1">
      <c r="E115" s="197"/>
      <c r="F115" s="197"/>
      <c r="G115" s="197"/>
      <c r="I115" s="198"/>
    </row>
    <row r="116" spans="5:9" ht="15" customHeight="1">
      <c r="E116" s="197"/>
      <c r="F116" s="197"/>
      <c r="G116" s="197"/>
      <c r="I116" s="198"/>
    </row>
    <row r="117" spans="5:9" ht="15" customHeight="1">
      <c r="E117" s="197"/>
      <c r="F117" s="197"/>
      <c r="G117" s="197"/>
      <c r="I117" s="198"/>
    </row>
    <row r="118" spans="5:9" ht="15" customHeight="1">
      <c r="E118" s="197"/>
      <c r="F118" s="197"/>
      <c r="G118" s="197"/>
      <c r="I118" s="198"/>
    </row>
    <row r="119" spans="5:9" ht="15" customHeight="1">
      <c r="E119" s="197"/>
      <c r="F119" s="197"/>
      <c r="G119" s="197"/>
      <c r="I119" s="198"/>
    </row>
    <row r="120" spans="5:9" ht="15" customHeight="1">
      <c r="E120" s="197"/>
      <c r="F120" s="197"/>
      <c r="G120" s="197"/>
      <c r="I120" s="198"/>
    </row>
    <row r="121" spans="5:9" ht="15" customHeight="1">
      <c r="E121" s="197"/>
      <c r="F121" s="197"/>
      <c r="G121" s="197"/>
      <c r="I121" s="198"/>
    </row>
    <row r="122" spans="5:9" ht="15" customHeight="1">
      <c r="E122" s="197"/>
      <c r="F122" s="197"/>
      <c r="G122" s="197"/>
      <c r="I122" s="198"/>
    </row>
    <row r="123" spans="5:9" ht="15" customHeight="1">
      <c r="E123" s="197"/>
      <c r="F123" s="197"/>
      <c r="G123" s="197"/>
      <c r="I123" s="198"/>
    </row>
    <row r="124" spans="5:9" ht="15" customHeight="1">
      <c r="E124" s="197"/>
      <c r="F124" s="197"/>
      <c r="G124" s="197"/>
      <c r="I124" s="198"/>
    </row>
    <row r="125" spans="5:9" ht="15" customHeight="1">
      <c r="E125" s="197"/>
      <c r="F125" s="197"/>
      <c r="G125" s="197"/>
      <c r="I125" s="198"/>
    </row>
    <row r="126" spans="5:9" ht="15" customHeight="1">
      <c r="E126" s="197"/>
      <c r="F126" s="197"/>
      <c r="G126" s="197"/>
      <c r="I126" s="198"/>
    </row>
    <row r="127" spans="5:9" ht="15" customHeight="1">
      <c r="E127" s="197"/>
      <c r="F127" s="197"/>
      <c r="G127" s="197"/>
      <c r="I127" s="198"/>
    </row>
    <row r="128" spans="5:9" ht="15" customHeight="1">
      <c r="E128" s="197"/>
      <c r="F128" s="197"/>
      <c r="G128" s="197"/>
      <c r="I128" s="198"/>
    </row>
    <row r="129" spans="5:9" ht="15" customHeight="1">
      <c r="E129" s="197"/>
      <c r="F129" s="197"/>
      <c r="G129" s="197"/>
      <c r="I129" s="198"/>
    </row>
    <row r="130" spans="5:9" ht="15" customHeight="1">
      <c r="E130" s="197"/>
      <c r="F130" s="197"/>
      <c r="G130" s="197"/>
      <c r="I130" s="198"/>
    </row>
    <row r="131" spans="5:9" ht="15" customHeight="1">
      <c r="E131" s="197"/>
      <c r="F131" s="197"/>
      <c r="G131" s="197"/>
      <c r="I131" s="198"/>
    </row>
    <row r="132" spans="5:9" ht="15" customHeight="1">
      <c r="E132" s="197"/>
      <c r="F132" s="197"/>
      <c r="G132" s="197"/>
      <c r="I132" s="198"/>
    </row>
    <row r="133" spans="5:9" ht="15" customHeight="1">
      <c r="E133" s="197"/>
      <c r="F133" s="197"/>
      <c r="G133" s="197"/>
      <c r="I133" s="198"/>
    </row>
    <row r="134" spans="5:9" ht="15" customHeight="1">
      <c r="E134" s="197"/>
      <c r="F134" s="197"/>
      <c r="G134" s="197"/>
      <c r="I134" s="198"/>
    </row>
    <row r="135" spans="5:9" ht="15" customHeight="1">
      <c r="E135" s="197"/>
      <c r="F135" s="197"/>
      <c r="G135" s="197"/>
      <c r="I135" s="198"/>
    </row>
    <row r="136" spans="5:9" ht="15" customHeight="1">
      <c r="E136" s="197"/>
      <c r="F136" s="197"/>
      <c r="G136" s="197"/>
      <c r="I136" s="198"/>
    </row>
    <row r="137" spans="5:9" ht="15" customHeight="1">
      <c r="E137" s="197"/>
      <c r="F137" s="197"/>
      <c r="G137" s="197"/>
      <c r="I137" s="198"/>
    </row>
    <row r="138" spans="5:9" ht="15" customHeight="1">
      <c r="E138" s="197"/>
      <c r="F138" s="197"/>
      <c r="G138" s="197"/>
      <c r="I138" s="198"/>
    </row>
    <row r="139" spans="5:9" ht="15" customHeight="1">
      <c r="E139" s="197"/>
      <c r="F139" s="197"/>
      <c r="G139" s="197"/>
      <c r="I139" s="198"/>
    </row>
    <row r="140" spans="5:9" ht="15" customHeight="1">
      <c r="E140" s="197"/>
      <c r="F140" s="197"/>
      <c r="G140" s="197"/>
      <c r="I140" s="198"/>
    </row>
    <row r="141" spans="5:9" ht="15" customHeight="1">
      <c r="E141" s="197"/>
      <c r="F141" s="197"/>
      <c r="G141" s="197"/>
      <c r="I141" s="198"/>
    </row>
    <row r="142" spans="5:9" ht="15" customHeight="1">
      <c r="E142" s="197"/>
      <c r="F142" s="197"/>
      <c r="G142" s="197"/>
      <c r="I142" s="198"/>
    </row>
    <row r="143" spans="5:9" ht="15" customHeight="1">
      <c r="E143" s="197"/>
      <c r="F143" s="197"/>
      <c r="G143" s="197"/>
      <c r="I143" s="198"/>
    </row>
    <row r="144" spans="5:9" ht="15" customHeight="1">
      <c r="E144" s="197"/>
      <c r="F144" s="197"/>
      <c r="G144" s="197"/>
      <c r="I144" s="198"/>
    </row>
    <row r="145" spans="5:9" ht="15" customHeight="1">
      <c r="E145" s="197"/>
      <c r="F145" s="197"/>
      <c r="G145" s="197"/>
      <c r="I145" s="198"/>
    </row>
    <row r="146" spans="5:9" ht="15" customHeight="1">
      <c r="E146" s="197"/>
      <c r="F146" s="197"/>
      <c r="G146" s="197"/>
      <c r="I146" s="198"/>
    </row>
    <row r="147" spans="5:9" ht="15" customHeight="1">
      <c r="E147" s="197"/>
      <c r="F147" s="197"/>
      <c r="G147" s="197"/>
      <c r="I147" s="198"/>
    </row>
    <row r="148" spans="5:9" ht="15" customHeight="1">
      <c r="E148" s="197"/>
      <c r="F148" s="197"/>
      <c r="G148" s="197"/>
      <c r="I148" s="198"/>
    </row>
    <row r="149" spans="5:9" ht="15" customHeight="1">
      <c r="E149" s="197"/>
      <c r="F149" s="197"/>
      <c r="G149" s="197"/>
      <c r="I149" s="198"/>
    </row>
    <row r="150" spans="5:9" ht="15" customHeight="1">
      <c r="E150" s="197"/>
      <c r="F150" s="197"/>
      <c r="G150" s="197"/>
      <c r="I150" s="198"/>
    </row>
    <row r="151" spans="5:9" ht="15" customHeight="1">
      <c r="E151" s="197"/>
      <c r="F151" s="197"/>
      <c r="G151" s="197"/>
      <c r="I151" s="198"/>
    </row>
    <row r="152" spans="5:9" ht="15" customHeight="1">
      <c r="E152" s="197"/>
      <c r="F152" s="197"/>
      <c r="G152" s="197"/>
      <c r="I152" s="198"/>
    </row>
    <row r="153" spans="5:9" ht="15" customHeight="1">
      <c r="E153" s="197"/>
      <c r="F153" s="197"/>
      <c r="G153" s="197"/>
      <c r="I153" s="198"/>
    </row>
    <row r="154" spans="5:9" ht="15" customHeight="1">
      <c r="E154" s="197"/>
      <c r="F154" s="197"/>
      <c r="G154" s="197"/>
      <c r="I154" s="198"/>
    </row>
    <row r="155" spans="5:9" ht="15" customHeight="1">
      <c r="E155" s="197"/>
      <c r="F155" s="197"/>
      <c r="G155" s="197"/>
      <c r="I155" s="198"/>
    </row>
    <row r="156" spans="5:9" ht="15" customHeight="1">
      <c r="E156" s="197"/>
      <c r="F156" s="197"/>
      <c r="G156" s="197"/>
      <c r="I156" s="198"/>
    </row>
    <row r="157" spans="5:9" ht="15" customHeight="1">
      <c r="E157" s="197"/>
      <c r="F157" s="197"/>
      <c r="G157" s="197"/>
      <c r="I157" s="198"/>
    </row>
    <row r="158" spans="5:9" ht="15" customHeight="1">
      <c r="E158" s="197"/>
      <c r="F158" s="197"/>
      <c r="G158" s="197"/>
      <c r="I158" s="198"/>
    </row>
    <row r="159" spans="5:9" ht="15" customHeight="1">
      <c r="E159" s="197"/>
      <c r="F159" s="197"/>
      <c r="G159" s="197"/>
      <c r="I159" s="198"/>
    </row>
    <row r="160" spans="5:9" ht="15" customHeight="1">
      <c r="E160" s="197"/>
      <c r="F160" s="197"/>
      <c r="G160" s="197"/>
      <c r="I160" s="198"/>
    </row>
    <row r="161" spans="5:9" ht="15" customHeight="1">
      <c r="E161" s="197"/>
      <c r="F161" s="197"/>
      <c r="G161" s="197"/>
      <c r="I161" s="198"/>
    </row>
    <row r="162" spans="5:9" ht="15" customHeight="1">
      <c r="E162" s="197"/>
      <c r="F162" s="197"/>
      <c r="G162" s="197"/>
      <c r="I162" s="198"/>
    </row>
    <row r="163" spans="5:9" ht="15" customHeight="1">
      <c r="E163" s="197"/>
      <c r="F163" s="197"/>
      <c r="G163" s="197"/>
      <c r="I163" s="198"/>
    </row>
    <row r="164" spans="5:9" ht="15" customHeight="1">
      <c r="E164" s="197"/>
      <c r="F164" s="197"/>
      <c r="G164" s="197"/>
      <c r="I164" s="198"/>
    </row>
    <row r="165" spans="5:9" ht="15" customHeight="1">
      <c r="E165" s="197"/>
      <c r="F165" s="197"/>
      <c r="G165" s="197"/>
      <c r="I165" s="198"/>
    </row>
    <row r="166" spans="5:9" ht="15" customHeight="1">
      <c r="E166" s="197"/>
      <c r="F166" s="197"/>
      <c r="G166" s="197"/>
      <c r="I166" s="198"/>
    </row>
    <row r="167" spans="5:9" ht="15" customHeight="1">
      <c r="E167" s="197"/>
      <c r="F167" s="197"/>
      <c r="G167" s="197"/>
      <c r="I167" s="198"/>
    </row>
    <row r="168" spans="5:9" ht="15" customHeight="1">
      <c r="E168" s="197"/>
      <c r="F168" s="197"/>
      <c r="G168" s="197"/>
      <c r="I168" s="198"/>
    </row>
    <row r="169" spans="5:9" ht="15" customHeight="1">
      <c r="E169" s="197"/>
      <c r="F169" s="197"/>
      <c r="G169" s="197"/>
      <c r="I169" s="198"/>
    </row>
    <row r="170" spans="5:9" ht="15" customHeight="1">
      <c r="E170" s="197"/>
      <c r="F170" s="197"/>
      <c r="G170" s="197"/>
      <c r="I170" s="198"/>
    </row>
    <row r="171" spans="5:9" ht="15" customHeight="1">
      <c r="E171" s="197"/>
      <c r="F171" s="197"/>
      <c r="G171" s="197"/>
      <c r="I171" s="198"/>
    </row>
    <row r="172" spans="5:9" ht="15" customHeight="1">
      <c r="E172" s="197"/>
      <c r="F172" s="197"/>
      <c r="G172" s="197"/>
      <c r="I172" s="198"/>
    </row>
    <row r="173" spans="5:9" ht="15" customHeight="1">
      <c r="E173" s="197"/>
      <c r="F173" s="197"/>
      <c r="G173" s="197"/>
      <c r="I173" s="198"/>
    </row>
    <row r="174" spans="5:9" ht="15" customHeight="1">
      <c r="E174" s="197"/>
      <c r="F174" s="197"/>
      <c r="G174" s="197"/>
      <c r="I174" s="198"/>
    </row>
    <row r="175" spans="5:9" ht="15" customHeight="1">
      <c r="E175" s="197"/>
      <c r="F175" s="197"/>
      <c r="G175" s="197"/>
      <c r="I175" s="198"/>
    </row>
    <row r="176" spans="5:9" ht="15" customHeight="1">
      <c r="E176" s="197"/>
      <c r="F176" s="197"/>
      <c r="G176" s="197"/>
      <c r="I176" s="198"/>
    </row>
    <row r="177" spans="5:9" ht="15" customHeight="1">
      <c r="E177" s="197"/>
      <c r="F177" s="197"/>
      <c r="G177" s="197"/>
      <c r="I177" s="198"/>
    </row>
    <row r="178" spans="5:9" ht="15" customHeight="1">
      <c r="E178" s="197"/>
      <c r="F178" s="197"/>
      <c r="G178" s="197"/>
      <c r="I178" s="198"/>
    </row>
    <row r="179" spans="5:9" ht="15" customHeight="1">
      <c r="E179" s="197"/>
      <c r="F179" s="197"/>
      <c r="G179" s="197"/>
      <c r="I179" s="198"/>
    </row>
    <row r="180" spans="5:9" ht="15" customHeight="1">
      <c r="E180" s="197"/>
      <c r="F180" s="197"/>
      <c r="G180" s="197"/>
      <c r="I180" s="198"/>
    </row>
    <row r="181" spans="5:9" ht="15" customHeight="1">
      <c r="E181" s="197"/>
      <c r="F181" s="197"/>
      <c r="G181" s="197"/>
      <c r="I181" s="198"/>
    </row>
    <row r="182" spans="5:9" ht="15" customHeight="1">
      <c r="E182" s="197"/>
      <c r="F182" s="197"/>
      <c r="G182" s="197"/>
      <c r="I182" s="198"/>
    </row>
    <row r="183" spans="5:9" ht="15" customHeight="1">
      <c r="E183" s="197"/>
      <c r="F183" s="197"/>
      <c r="G183" s="197"/>
      <c r="I183" s="198"/>
    </row>
    <row r="184" spans="5:9" ht="15" customHeight="1">
      <c r="E184" s="197"/>
      <c r="F184" s="197"/>
      <c r="G184" s="197"/>
      <c r="I184" s="198"/>
    </row>
    <row r="185" spans="5:9" ht="15" customHeight="1">
      <c r="E185" s="197"/>
      <c r="F185" s="197"/>
      <c r="G185" s="197"/>
      <c r="I185" s="198"/>
    </row>
    <row r="186" spans="5:9" ht="15" customHeight="1">
      <c r="E186" s="197"/>
      <c r="F186" s="197"/>
      <c r="G186" s="197"/>
      <c r="I186" s="198"/>
    </row>
    <row r="187" spans="5:9" ht="15" customHeight="1">
      <c r="E187" s="197"/>
      <c r="F187" s="197"/>
      <c r="G187" s="197"/>
      <c r="I187" s="198"/>
    </row>
    <row r="188" spans="5:9" ht="15" customHeight="1">
      <c r="E188" s="197"/>
      <c r="F188" s="197"/>
      <c r="G188" s="197"/>
      <c r="I188" s="198"/>
    </row>
    <row r="189" spans="5:9" ht="15" customHeight="1">
      <c r="E189" s="197"/>
      <c r="F189" s="197"/>
      <c r="G189" s="197"/>
      <c r="I189" s="198"/>
    </row>
    <row r="190" spans="5:9" ht="15" customHeight="1">
      <c r="E190" s="197"/>
      <c r="F190" s="197"/>
      <c r="G190" s="197"/>
      <c r="I190" s="198"/>
    </row>
    <row r="191" spans="5:9" ht="15" customHeight="1">
      <c r="E191" s="197"/>
      <c r="F191" s="197"/>
      <c r="G191" s="197"/>
      <c r="I191" s="198"/>
    </row>
    <row r="192" spans="5:9" ht="15" customHeight="1">
      <c r="E192" s="197"/>
      <c r="F192" s="197"/>
      <c r="G192" s="197"/>
      <c r="I192" s="198"/>
    </row>
    <row r="193" spans="5:9" ht="15" customHeight="1">
      <c r="E193" s="197"/>
      <c r="F193" s="197"/>
      <c r="G193" s="197"/>
      <c r="I193" s="198"/>
    </row>
    <row r="194" spans="5:9" ht="15" customHeight="1">
      <c r="E194" s="197"/>
      <c r="F194" s="197"/>
      <c r="G194" s="197"/>
      <c r="I194" s="198"/>
    </row>
    <row r="195" spans="5:9" ht="15" customHeight="1">
      <c r="E195" s="197"/>
      <c r="F195" s="197"/>
      <c r="G195" s="197"/>
      <c r="I195" s="198"/>
    </row>
    <row r="196" spans="5:9" ht="15" customHeight="1">
      <c r="E196" s="197"/>
      <c r="F196" s="197"/>
      <c r="G196" s="197"/>
      <c r="I196" s="198"/>
    </row>
    <row r="197" spans="5:9" ht="15" customHeight="1">
      <c r="E197" s="197"/>
      <c r="F197" s="197"/>
      <c r="G197" s="197"/>
      <c r="I197" s="198"/>
    </row>
    <row r="198" spans="5:9" ht="15" customHeight="1">
      <c r="E198" s="197"/>
      <c r="F198" s="197"/>
      <c r="G198" s="197"/>
      <c r="I198" s="198"/>
    </row>
    <row r="199" spans="5:9" ht="15" customHeight="1">
      <c r="E199" s="197"/>
      <c r="F199" s="197"/>
      <c r="G199" s="197"/>
      <c r="I199" s="198"/>
    </row>
    <row r="200" spans="5:9" ht="15" customHeight="1">
      <c r="E200" s="197"/>
      <c r="F200" s="197"/>
      <c r="G200" s="197"/>
      <c r="I200" s="198"/>
    </row>
    <row r="201" spans="5:9" ht="15" customHeight="1">
      <c r="E201" s="197"/>
      <c r="F201" s="197"/>
      <c r="G201" s="197"/>
      <c r="I201" s="198"/>
    </row>
    <row r="202" spans="5:9" ht="15" customHeight="1">
      <c r="E202" s="197"/>
      <c r="F202" s="197"/>
      <c r="G202" s="197"/>
      <c r="I202" s="198"/>
    </row>
    <row r="203" spans="5:9" ht="15" customHeight="1">
      <c r="E203" s="197"/>
      <c r="F203" s="197"/>
      <c r="G203" s="197"/>
      <c r="I203" s="198"/>
    </row>
    <row r="204" spans="5:9" ht="15" customHeight="1">
      <c r="E204" s="197"/>
      <c r="F204" s="197"/>
      <c r="G204" s="197"/>
      <c r="I204" s="198"/>
    </row>
    <row r="205" spans="5:9" ht="15" customHeight="1">
      <c r="E205" s="197"/>
      <c r="F205" s="197"/>
      <c r="G205" s="197"/>
      <c r="I205" s="198"/>
    </row>
    <row r="206" spans="5:9" ht="15" customHeight="1">
      <c r="E206" s="197"/>
      <c r="F206" s="197"/>
      <c r="G206" s="197"/>
      <c r="I206" s="198"/>
    </row>
    <row r="207" spans="5:9" ht="15" customHeight="1">
      <c r="E207" s="197"/>
      <c r="F207" s="197"/>
      <c r="G207" s="197"/>
      <c r="I207" s="198"/>
    </row>
    <row r="208" spans="5:9" ht="15" customHeight="1">
      <c r="E208" s="197"/>
      <c r="F208" s="197"/>
      <c r="G208" s="197"/>
      <c r="I208" s="198"/>
    </row>
    <row r="209" spans="5:9" ht="15" customHeight="1">
      <c r="E209" s="197"/>
      <c r="F209" s="197"/>
      <c r="G209" s="197"/>
      <c r="I209" s="198"/>
    </row>
    <row r="210" spans="5:9" ht="15" customHeight="1">
      <c r="E210" s="197"/>
      <c r="F210" s="197"/>
      <c r="G210" s="197"/>
      <c r="I210" s="198"/>
    </row>
    <row r="211" spans="5:9" ht="15" customHeight="1">
      <c r="E211" s="197"/>
      <c r="F211" s="197"/>
      <c r="G211" s="197"/>
      <c r="I211" s="198"/>
    </row>
    <row r="212" spans="5:9" ht="15" customHeight="1">
      <c r="E212" s="197"/>
      <c r="F212" s="197"/>
      <c r="G212" s="197"/>
      <c r="I212" s="198"/>
    </row>
    <row r="213" spans="5:9" ht="15" customHeight="1">
      <c r="E213" s="197"/>
      <c r="F213" s="197"/>
      <c r="G213" s="197"/>
      <c r="I213" s="198"/>
    </row>
    <row r="214" spans="5:9" ht="15" customHeight="1">
      <c r="E214" s="197"/>
      <c r="F214" s="197"/>
      <c r="G214" s="197"/>
      <c r="I214" s="198"/>
    </row>
    <row r="215" spans="5:9" ht="15" customHeight="1">
      <c r="E215" s="197"/>
      <c r="F215" s="197"/>
      <c r="G215" s="197"/>
      <c r="I215" s="198"/>
    </row>
    <row r="216" spans="5:9" ht="15" customHeight="1">
      <c r="E216" s="197"/>
      <c r="F216" s="197"/>
      <c r="G216" s="197"/>
      <c r="I216" s="198"/>
    </row>
    <row r="217" spans="5:9" ht="15" customHeight="1">
      <c r="E217" s="197"/>
      <c r="F217" s="197"/>
      <c r="G217" s="197"/>
      <c r="I217" s="198"/>
    </row>
    <row r="218" spans="5:9" ht="15" customHeight="1">
      <c r="E218" s="197"/>
      <c r="F218" s="197"/>
      <c r="G218" s="197"/>
      <c r="I218" s="198"/>
    </row>
    <row r="219" spans="5:9" ht="15" customHeight="1">
      <c r="E219" s="197"/>
      <c r="F219" s="197"/>
      <c r="G219" s="197"/>
      <c r="I219" s="198"/>
    </row>
    <row r="220" spans="5:9" ht="15" customHeight="1">
      <c r="E220" s="197"/>
      <c r="F220" s="197"/>
      <c r="G220" s="197"/>
      <c r="I220" s="198"/>
    </row>
    <row r="221" spans="5:9" ht="15" customHeight="1">
      <c r="E221" s="197"/>
      <c r="F221" s="197"/>
      <c r="G221" s="197"/>
      <c r="I221" s="198"/>
    </row>
    <row r="222" spans="5:9" ht="15" customHeight="1">
      <c r="E222" s="197"/>
      <c r="F222" s="197"/>
      <c r="G222" s="197"/>
      <c r="I222" s="198"/>
    </row>
    <row r="223" spans="5:9" ht="15" customHeight="1">
      <c r="E223" s="197"/>
      <c r="F223" s="197"/>
      <c r="G223" s="197"/>
      <c r="I223" s="198"/>
    </row>
    <row r="224" spans="5:9" ht="15" customHeight="1">
      <c r="E224" s="197"/>
      <c r="F224" s="197"/>
      <c r="G224" s="197"/>
      <c r="I224" s="198"/>
    </row>
    <row r="225" spans="5:9" ht="15" customHeight="1">
      <c r="E225" s="197"/>
      <c r="F225" s="197"/>
      <c r="G225" s="197"/>
      <c r="I225" s="198"/>
    </row>
    <row r="226" spans="5:9" ht="15" customHeight="1">
      <c r="E226" s="197"/>
      <c r="F226" s="197"/>
      <c r="G226" s="197"/>
      <c r="I226" s="198"/>
    </row>
    <row r="227" spans="5:9" ht="15" customHeight="1">
      <c r="E227" s="197"/>
      <c r="F227" s="197"/>
      <c r="G227" s="197"/>
      <c r="I227" s="198"/>
    </row>
    <row r="228" spans="5:9" ht="15" customHeight="1">
      <c r="E228" s="197"/>
      <c r="F228" s="197"/>
      <c r="G228" s="197"/>
      <c r="I228" s="198"/>
    </row>
    <row r="229" spans="5:9" ht="15" customHeight="1">
      <c r="E229" s="197"/>
      <c r="F229" s="197"/>
      <c r="G229" s="197"/>
      <c r="I229" s="198"/>
    </row>
    <row r="230" spans="5:9" ht="15" customHeight="1">
      <c r="E230" s="197"/>
      <c r="F230" s="197"/>
      <c r="G230" s="197"/>
      <c r="I230" s="198"/>
    </row>
    <row r="231" spans="5:9" ht="15" customHeight="1">
      <c r="E231" s="197"/>
      <c r="F231" s="197"/>
      <c r="G231" s="197"/>
      <c r="I231" s="198"/>
    </row>
    <row r="232" spans="5:9" ht="15" customHeight="1">
      <c r="E232" s="197"/>
      <c r="F232" s="197"/>
      <c r="G232" s="197"/>
      <c r="I232" s="198"/>
    </row>
    <row r="233" spans="5:9" ht="15" customHeight="1">
      <c r="E233" s="197"/>
      <c r="F233" s="197"/>
      <c r="G233" s="197"/>
      <c r="I233" s="198"/>
    </row>
    <row r="234" spans="5:9" ht="15" customHeight="1">
      <c r="E234" s="197"/>
      <c r="F234" s="197"/>
      <c r="G234" s="197"/>
      <c r="I234" s="198"/>
    </row>
    <row r="235" spans="5:9" ht="15" customHeight="1">
      <c r="E235" s="197"/>
      <c r="F235" s="197"/>
      <c r="G235" s="197"/>
      <c r="I235" s="198"/>
    </row>
    <row r="236" spans="5:9" ht="15" customHeight="1">
      <c r="E236" s="197"/>
      <c r="F236" s="197"/>
      <c r="G236" s="197"/>
      <c r="I236" s="198"/>
    </row>
    <row r="237" spans="5:9" ht="15" customHeight="1">
      <c r="E237" s="197"/>
      <c r="F237" s="197"/>
      <c r="G237" s="197"/>
      <c r="I237" s="198"/>
    </row>
    <row r="238" spans="5:9" ht="15" customHeight="1">
      <c r="E238" s="197"/>
      <c r="F238" s="197"/>
      <c r="G238" s="197"/>
      <c r="I238" s="198"/>
    </row>
    <row r="239" spans="5:9" ht="15" customHeight="1">
      <c r="E239" s="197"/>
      <c r="F239" s="197"/>
      <c r="G239" s="197"/>
      <c r="I239" s="198"/>
    </row>
    <row r="240" spans="5:9" ht="15" customHeight="1">
      <c r="E240" s="197"/>
      <c r="F240" s="197"/>
      <c r="G240" s="197"/>
      <c r="I240" s="198"/>
    </row>
    <row r="241" spans="5:9" ht="15" customHeight="1">
      <c r="E241" s="197"/>
      <c r="F241" s="197"/>
      <c r="G241" s="197"/>
      <c r="I241" s="198"/>
    </row>
    <row r="242" spans="5:9" ht="15" customHeight="1">
      <c r="E242" s="197"/>
      <c r="F242" s="197"/>
      <c r="G242" s="197"/>
      <c r="I242" s="198"/>
    </row>
    <row r="243" spans="5:9" ht="15" customHeight="1">
      <c r="E243" s="197"/>
      <c r="F243" s="197"/>
      <c r="G243" s="197"/>
      <c r="I243" s="198"/>
    </row>
    <row r="244" spans="5:9" ht="15" customHeight="1">
      <c r="E244" s="197"/>
      <c r="F244" s="197"/>
      <c r="G244" s="197"/>
      <c r="I244" s="198"/>
    </row>
    <row r="245" spans="5:9" ht="15" customHeight="1">
      <c r="E245" s="197"/>
      <c r="F245" s="197"/>
      <c r="G245" s="197"/>
      <c r="I245" s="198"/>
    </row>
    <row r="246" spans="5:9" ht="15" customHeight="1">
      <c r="E246" s="197"/>
      <c r="F246" s="197"/>
      <c r="G246" s="197"/>
      <c r="I246" s="198"/>
    </row>
    <row r="247" spans="5:9" ht="15" customHeight="1">
      <c r="E247" s="197"/>
      <c r="F247" s="197"/>
      <c r="G247" s="197"/>
      <c r="I247" s="198"/>
    </row>
    <row r="248" spans="5:9" ht="15" customHeight="1">
      <c r="E248" s="197"/>
      <c r="F248" s="197"/>
      <c r="G248" s="197"/>
      <c r="I248" s="198"/>
    </row>
    <row r="249" spans="5:9" ht="15" customHeight="1">
      <c r="E249" s="197"/>
      <c r="F249" s="197"/>
      <c r="G249" s="197"/>
      <c r="I249" s="198"/>
    </row>
    <row r="250" spans="5:9" ht="15" customHeight="1">
      <c r="E250" s="197"/>
      <c r="F250" s="197"/>
      <c r="G250" s="197"/>
      <c r="I250" s="198"/>
    </row>
    <row r="251" spans="5:9" ht="15" customHeight="1">
      <c r="E251" s="197"/>
      <c r="F251" s="197"/>
      <c r="G251" s="197"/>
      <c r="I251" s="198"/>
    </row>
    <row r="252" spans="5:9" ht="15" customHeight="1">
      <c r="E252" s="197"/>
      <c r="F252" s="197"/>
      <c r="G252" s="197"/>
      <c r="I252" s="198"/>
    </row>
    <row r="253" spans="5:9" ht="15" customHeight="1">
      <c r="E253" s="197"/>
      <c r="F253" s="197"/>
      <c r="G253" s="197"/>
      <c r="I253" s="198"/>
    </row>
    <row r="254" spans="5:9" ht="15" customHeight="1">
      <c r="E254" s="197"/>
      <c r="F254" s="197"/>
      <c r="G254" s="197"/>
      <c r="I254" s="198"/>
    </row>
    <row r="255" spans="5:9" ht="15" customHeight="1">
      <c r="E255" s="197"/>
      <c r="F255" s="197"/>
      <c r="G255" s="197"/>
      <c r="I255" s="198"/>
    </row>
    <row r="256" spans="5:9" ht="15" customHeight="1">
      <c r="E256" s="197"/>
      <c r="F256" s="197"/>
      <c r="G256" s="197"/>
      <c r="I256" s="198"/>
    </row>
    <row r="257" spans="5:9" ht="15" customHeight="1">
      <c r="E257" s="197"/>
      <c r="F257" s="197"/>
      <c r="G257" s="197"/>
      <c r="I257" s="198"/>
    </row>
    <row r="258" spans="5:9" ht="15" customHeight="1">
      <c r="E258" s="197"/>
      <c r="F258" s="197"/>
      <c r="G258" s="197"/>
      <c r="I258" s="198"/>
    </row>
    <row r="259" spans="5:9" ht="15" customHeight="1">
      <c r="E259" s="197"/>
      <c r="F259" s="197"/>
      <c r="G259" s="197"/>
      <c r="I259" s="198"/>
    </row>
    <row r="260" spans="5:9" ht="15" customHeight="1">
      <c r="E260" s="197"/>
      <c r="F260" s="197"/>
      <c r="G260" s="197"/>
      <c r="I260" s="198"/>
    </row>
    <row r="261" spans="5:9" ht="15" customHeight="1">
      <c r="E261" s="197"/>
      <c r="F261" s="197"/>
      <c r="G261" s="197"/>
      <c r="I261" s="198"/>
    </row>
    <row r="262" spans="5:9" ht="15" customHeight="1">
      <c r="E262" s="197"/>
      <c r="F262" s="197"/>
      <c r="G262" s="197"/>
      <c r="I262" s="198"/>
    </row>
    <row r="263" spans="5:9" ht="15" customHeight="1">
      <c r="E263" s="197"/>
      <c r="F263" s="197"/>
      <c r="G263" s="197"/>
      <c r="I263" s="198"/>
    </row>
    <row r="264" spans="5:9" ht="15" customHeight="1">
      <c r="E264" s="197"/>
      <c r="F264" s="197"/>
      <c r="G264" s="197"/>
      <c r="I264" s="198"/>
    </row>
    <row r="265" spans="5:9" ht="15" customHeight="1">
      <c r="E265" s="197"/>
      <c r="F265" s="197"/>
      <c r="G265" s="197"/>
      <c r="I265" s="198"/>
    </row>
    <row r="266" spans="5:9" ht="15" customHeight="1">
      <c r="E266" s="197"/>
      <c r="F266" s="197"/>
      <c r="G266" s="197"/>
      <c r="I266" s="198"/>
    </row>
    <row r="267" spans="5:9" ht="15" customHeight="1">
      <c r="E267" s="197"/>
      <c r="F267" s="197"/>
      <c r="G267" s="197"/>
      <c r="I267" s="198"/>
    </row>
    <row r="268" spans="5:9" ht="15" customHeight="1">
      <c r="E268" s="197"/>
      <c r="F268" s="197"/>
      <c r="G268" s="197"/>
      <c r="I268" s="198"/>
    </row>
    <row r="269" spans="5:9" ht="15" customHeight="1">
      <c r="E269" s="197"/>
      <c r="F269" s="197"/>
      <c r="G269" s="197"/>
      <c r="I269" s="198"/>
    </row>
    <row r="270" spans="5:9" ht="15" customHeight="1">
      <c r="E270" s="197"/>
      <c r="F270" s="197"/>
      <c r="G270" s="197"/>
      <c r="I270" s="198"/>
    </row>
    <row r="271" spans="5:9" ht="15" customHeight="1">
      <c r="E271" s="197"/>
      <c r="F271" s="197"/>
      <c r="G271" s="197"/>
      <c r="I271" s="198"/>
    </row>
    <row r="272" spans="5:9" ht="15" customHeight="1">
      <c r="E272" s="197"/>
      <c r="F272" s="197"/>
      <c r="G272" s="197"/>
      <c r="I272" s="198"/>
    </row>
    <row r="273" spans="5:9" ht="15" customHeight="1">
      <c r="E273" s="197"/>
      <c r="F273" s="197"/>
      <c r="G273" s="197"/>
      <c r="I273" s="198"/>
    </row>
    <row r="274" spans="5:9" ht="15" customHeight="1">
      <c r="E274" s="197"/>
      <c r="F274" s="197"/>
      <c r="G274" s="197"/>
      <c r="I274" s="198"/>
    </row>
    <row r="275" spans="5:9" ht="15" customHeight="1">
      <c r="E275" s="197"/>
      <c r="F275" s="197"/>
      <c r="G275" s="197"/>
      <c r="I275" s="198"/>
    </row>
    <row r="276" spans="5:9" ht="15" customHeight="1">
      <c r="E276" s="197"/>
      <c r="F276" s="197"/>
      <c r="G276" s="197"/>
      <c r="I276" s="198"/>
    </row>
    <row r="277" spans="5:9" ht="15" customHeight="1">
      <c r="E277" s="197"/>
      <c r="F277" s="197"/>
      <c r="G277" s="197"/>
      <c r="I277" s="198"/>
    </row>
    <row r="278" spans="5:9" ht="15" customHeight="1">
      <c r="E278" s="197"/>
      <c r="F278" s="197"/>
      <c r="G278" s="197"/>
      <c r="I278" s="198"/>
    </row>
    <row r="279" spans="5:9" ht="15" customHeight="1">
      <c r="E279" s="197"/>
      <c r="F279" s="197"/>
      <c r="G279" s="197"/>
      <c r="I279" s="198"/>
    </row>
    <row r="280" spans="5:9" ht="15" customHeight="1">
      <c r="E280" s="197"/>
      <c r="F280" s="197"/>
      <c r="G280" s="197"/>
      <c r="I280" s="198"/>
    </row>
    <row r="281" spans="5:9" ht="15" customHeight="1">
      <c r="E281" s="197"/>
      <c r="F281" s="197"/>
      <c r="G281" s="197"/>
      <c r="I281" s="198"/>
    </row>
    <row r="282" spans="5:9" ht="15" customHeight="1">
      <c r="E282" s="197"/>
      <c r="F282" s="197"/>
      <c r="G282" s="197"/>
      <c r="I282" s="198"/>
    </row>
    <row r="283" spans="5:9" ht="15" customHeight="1">
      <c r="E283" s="197"/>
      <c r="F283" s="197"/>
      <c r="G283" s="197"/>
      <c r="I283" s="198"/>
    </row>
    <row r="284" spans="5:9" ht="15" customHeight="1">
      <c r="E284" s="197"/>
      <c r="F284" s="197"/>
      <c r="G284" s="197"/>
      <c r="I284" s="198"/>
    </row>
    <row r="285" spans="5:9" ht="15" customHeight="1">
      <c r="E285" s="197"/>
      <c r="F285" s="197"/>
      <c r="G285" s="197"/>
      <c r="I285" s="198"/>
    </row>
    <row r="286" spans="5:9" ht="15" customHeight="1">
      <c r="E286" s="197"/>
      <c r="F286" s="197"/>
      <c r="G286" s="197"/>
      <c r="I286" s="198"/>
    </row>
    <row r="287" spans="5:9" ht="15" customHeight="1">
      <c r="E287" s="197"/>
      <c r="F287" s="197"/>
      <c r="G287" s="197"/>
      <c r="I287" s="198"/>
    </row>
    <row r="288" spans="5:9" ht="15" customHeight="1">
      <c r="E288" s="197"/>
      <c r="F288" s="197"/>
      <c r="G288" s="197"/>
      <c r="I288" s="198"/>
    </row>
    <row r="289" spans="5:9" ht="15" customHeight="1">
      <c r="E289" s="197"/>
      <c r="F289" s="197"/>
      <c r="G289" s="197"/>
      <c r="I289" s="198"/>
    </row>
    <row r="290" spans="5:9" ht="15" customHeight="1">
      <c r="E290" s="197"/>
      <c r="F290" s="197"/>
      <c r="G290" s="197"/>
      <c r="I290" s="198"/>
    </row>
    <row r="291" spans="5:9" ht="15" customHeight="1">
      <c r="E291" s="197"/>
      <c r="F291" s="197"/>
      <c r="G291" s="197"/>
      <c r="I291" s="198"/>
    </row>
    <row r="292" spans="5:9" ht="15" customHeight="1">
      <c r="E292" s="197"/>
      <c r="F292" s="197"/>
      <c r="G292" s="197"/>
      <c r="I292" s="198"/>
    </row>
    <row r="293" spans="5:9" ht="15" customHeight="1">
      <c r="E293" s="197"/>
      <c r="F293" s="197"/>
      <c r="G293" s="197"/>
      <c r="I293" s="198"/>
    </row>
    <row r="294" spans="5:9" ht="15" customHeight="1">
      <c r="E294" s="197"/>
      <c r="F294" s="197"/>
      <c r="G294" s="197"/>
      <c r="I294" s="198"/>
    </row>
    <row r="295" spans="5:9" ht="15" customHeight="1">
      <c r="E295" s="197"/>
      <c r="F295" s="197"/>
      <c r="G295" s="197"/>
      <c r="I295" s="198"/>
    </row>
    <row r="296" spans="5:9" ht="15" customHeight="1">
      <c r="E296" s="197"/>
      <c r="F296" s="197"/>
      <c r="G296" s="197"/>
      <c r="I296" s="198"/>
    </row>
    <row r="297" spans="5:9" ht="15" customHeight="1">
      <c r="E297" s="197"/>
      <c r="F297" s="197"/>
      <c r="G297" s="197"/>
      <c r="I297" s="198"/>
    </row>
    <row r="298" spans="5:9" ht="15" customHeight="1">
      <c r="E298" s="197"/>
      <c r="F298" s="197"/>
      <c r="G298" s="197"/>
      <c r="I298" s="198"/>
    </row>
    <row r="299" spans="5:9" ht="15" customHeight="1">
      <c r="E299" s="197"/>
      <c r="F299" s="197"/>
      <c r="G299" s="197"/>
      <c r="I299" s="198"/>
    </row>
    <row r="300" spans="5:9" ht="15" customHeight="1">
      <c r="E300" s="197"/>
      <c r="F300" s="197"/>
      <c r="G300" s="197"/>
      <c r="I300" s="198"/>
    </row>
    <row r="301" spans="5:9" ht="15" customHeight="1">
      <c r="E301" s="197"/>
      <c r="F301" s="197"/>
      <c r="G301" s="197"/>
      <c r="I301" s="198"/>
    </row>
    <row r="302" spans="5:9" ht="15" customHeight="1">
      <c r="E302" s="197"/>
      <c r="F302" s="197"/>
      <c r="G302" s="197"/>
      <c r="I302" s="198"/>
    </row>
    <row r="303" spans="5:9" ht="15" customHeight="1">
      <c r="E303" s="197"/>
      <c r="F303" s="197"/>
      <c r="G303" s="197"/>
      <c r="I303" s="198"/>
    </row>
    <row r="304" spans="5:9" ht="15" customHeight="1">
      <c r="E304" s="197"/>
      <c r="F304" s="197"/>
      <c r="G304" s="197"/>
      <c r="I304" s="198"/>
    </row>
    <row r="305" spans="5:9" ht="15" customHeight="1">
      <c r="E305" s="197"/>
      <c r="F305" s="197"/>
      <c r="G305" s="197"/>
      <c r="I305" s="198"/>
    </row>
    <row r="306" spans="5:9" ht="15" customHeight="1">
      <c r="E306" s="197"/>
      <c r="F306" s="197"/>
      <c r="G306" s="197"/>
      <c r="I306" s="198"/>
    </row>
    <row r="307" spans="5:9" ht="15" customHeight="1">
      <c r="E307" s="197"/>
      <c r="F307" s="197"/>
      <c r="G307" s="197"/>
      <c r="I307" s="198"/>
    </row>
    <row r="308" spans="5:9" ht="15" customHeight="1">
      <c r="E308" s="197"/>
      <c r="F308" s="197"/>
      <c r="G308" s="197"/>
      <c r="I308" s="198"/>
    </row>
    <row r="309" spans="5:9" ht="15" customHeight="1">
      <c r="E309" s="197"/>
      <c r="F309" s="197"/>
      <c r="G309" s="197"/>
      <c r="I309" s="198"/>
    </row>
    <row r="310" spans="5:9" ht="15" customHeight="1">
      <c r="E310" s="197"/>
      <c r="F310" s="197"/>
      <c r="G310" s="197"/>
      <c r="I310" s="198"/>
    </row>
    <row r="311" spans="5:9" ht="15" customHeight="1">
      <c r="E311" s="197"/>
      <c r="F311" s="197"/>
      <c r="G311" s="197"/>
      <c r="I311" s="198"/>
    </row>
    <row r="312" spans="5:9" ht="15" customHeight="1">
      <c r="E312" s="197"/>
      <c r="F312" s="197"/>
      <c r="G312" s="197"/>
      <c r="I312" s="198"/>
    </row>
    <row r="313" spans="5:9" ht="15" customHeight="1">
      <c r="E313" s="197"/>
      <c r="F313" s="197"/>
      <c r="G313" s="197"/>
      <c r="I313" s="198"/>
    </row>
    <row r="314" spans="5:9" ht="15" customHeight="1">
      <c r="E314" s="197"/>
      <c r="F314" s="197"/>
      <c r="G314" s="197"/>
      <c r="I314" s="198"/>
    </row>
    <row r="315" spans="5:9" ht="15" customHeight="1">
      <c r="E315" s="197"/>
      <c r="F315" s="197"/>
      <c r="G315" s="197"/>
      <c r="I315" s="198"/>
    </row>
    <row r="316" spans="5:9" ht="15" customHeight="1">
      <c r="E316" s="197"/>
      <c r="F316" s="197"/>
      <c r="G316" s="197"/>
      <c r="I316" s="198"/>
    </row>
    <row r="317" spans="5:9" ht="15" customHeight="1">
      <c r="E317" s="197"/>
      <c r="F317" s="197"/>
      <c r="G317" s="197"/>
      <c r="I317" s="198"/>
    </row>
    <row r="318" spans="5:9" ht="15" customHeight="1">
      <c r="E318" s="197"/>
      <c r="F318" s="197"/>
      <c r="G318" s="197"/>
      <c r="I318" s="198"/>
    </row>
    <row r="319" spans="5:9" ht="15" customHeight="1">
      <c r="E319" s="197"/>
      <c r="F319" s="197"/>
      <c r="G319" s="197"/>
      <c r="I319" s="198"/>
    </row>
    <row r="320" spans="5:9" ht="15" customHeight="1">
      <c r="E320" s="197"/>
      <c r="F320" s="197"/>
      <c r="G320" s="197"/>
      <c r="I320" s="198"/>
    </row>
    <row r="321" spans="5:9" ht="15" customHeight="1">
      <c r="E321" s="197"/>
      <c r="F321" s="197"/>
      <c r="G321" s="197"/>
      <c r="I321" s="198"/>
    </row>
    <row r="322" spans="5:9" ht="15" customHeight="1">
      <c r="E322" s="197"/>
      <c r="F322" s="197"/>
      <c r="G322" s="197"/>
      <c r="I322" s="198"/>
    </row>
    <row r="323" spans="5:9" ht="15" customHeight="1">
      <c r="E323" s="197"/>
      <c r="F323" s="197"/>
      <c r="G323" s="197"/>
      <c r="I323" s="198"/>
    </row>
    <row r="324" spans="5:9" ht="15" customHeight="1">
      <c r="E324" s="197"/>
      <c r="F324" s="197"/>
      <c r="G324" s="197"/>
      <c r="I324" s="198"/>
    </row>
    <row r="325" spans="5:9" ht="15" customHeight="1">
      <c r="E325" s="197"/>
      <c r="F325" s="197"/>
      <c r="G325" s="197"/>
      <c r="I325" s="198"/>
    </row>
    <row r="326" spans="5:9" ht="15" customHeight="1">
      <c r="E326" s="197"/>
      <c r="F326" s="197"/>
      <c r="G326" s="197"/>
      <c r="I326" s="198"/>
    </row>
    <row r="327" spans="5:9" ht="15" customHeight="1">
      <c r="E327" s="197"/>
      <c r="F327" s="197"/>
      <c r="G327" s="197"/>
      <c r="I327" s="198"/>
    </row>
    <row r="328" spans="5:9" ht="15" customHeight="1">
      <c r="E328" s="197"/>
      <c r="F328" s="197"/>
      <c r="G328" s="197"/>
      <c r="I328" s="198"/>
    </row>
    <row r="329" spans="5:9" ht="15" customHeight="1">
      <c r="E329" s="197"/>
      <c r="F329" s="197"/>
      <c r="G329" s="197"/>
      <c r="I329" s="198"/>
    </row>
    <row r="330" spans="5:9" ht="15" customHeight="1">
      <c r="E330" s="197"/>
      <c r="F330" s="197"/>
      <c r="G330" s="197"/>
      <c r="I330" s="198"/>
    </row>
    <row r="331" spans="5:9" ht="15" customHeight="1">
      <c r="E331" s="197"/>
      <c r="F331" s="197"/>
      <c r="G331" s="197"/>
      <c r="I331" s="198"/>
    </row>
    <row r="332" spans="5:9" ht="15" customHeight="1">
      <c r="E332" s="197"/>
      <c r="F332" s="197"/>
      <c r="G332" s="197"/>
      <c r="I332" s="198"/>
    </row>
    <row r="333" spans="5:9" ht="15" customHeight="1">
      <c r="E333" s="197"/>
      <c r="F333" s="197"/>
      <c r="G333" s="197"/>
      <c r="I333" s="198"/>
    </row>
    <row r="334" spans="5:9" ht="15" customHeight="1">
      <c r="E334" s="197"/>
      <c r="F334" s="197"/>
      <c r="G334" s="197"/>
      <c r="I334" s="198"/>
    </row>
    <row r="335" spans="5:9" ht="15" customHeight="1">
      <c r="E335" s="197"/>
      <c r="F335" s="197"/>
      <c r="G335" s="197"/>
      <c r="I335" s="198"/>
    </row>
    <row r="336" spans="5:9" ht="15" customHeight="1">
      <c r="E336" s="197"/>
      <c r="F336" s="197"/>
      <c r="G336" s="197"/>
      <c r="I336" s="198"/>
    </row>
    <row r="337" spans="5:9" ht="15" customHeight="1">
      <c r="E337" s="197"/>
      <c r="F337" s="197"/>
      <c r="G337" s="197"/>
      <c r="I337" s="198"/>
    </row>
    <row r="338" spans="5:9" ht="15" customHeight="1">
      <c r="E338" s="197"/>
      <c r="F338" s="197"/>
      <c r="G338" s="197"/>
      <c r="I338" s="198"/>
    </row>
    <row r="339" spans="5:9" ht="15" customHeight="1">
      <c r="E339" s="197"/>
      <c r="F339" s="197"/>
      <c r="G339" s="197"/>
      <c r="I339" s="198"/>
    </row>
    <row r="340" spans="5:9" ht="15" customHeight="1">
      <c r="E340" s="197"/>
      <c r="F340" s="197"/>
      <c r="G340" s="197"/>
      <c r="I340" s="198"/>
    </row>
    <row r="341" spans="5:9" ht="15" customHeight="1">
      <c r="E341" s="197"/>
      <c r="F341" s="197"/>
      <c r="G341" s="197"/>
      <c r="I341" s="198"/>
    </row>
    <row r="342" spans="5:9" ht="15" customHeight="1">
      <c r="E342" s="197"/>
      <c r="F342" s="197"/>
      <c r="G342" s="197"/>
      <c r="I342" s="198"/>
    </row>
    <row r="343" spans="5:9" ht="15" customHeight="1">
      <c r="E343" s="197"/>
      <c r="F343" s="197"/>
      <c r="G343" s="197"/>
      <c r="I343" s="198"/>
    </row>
    <row r="344" spans="5:9" ht="15" customHeight="1">
      <c r="E344" s="197"/>
      <c r="F344" s="197"/>
      <c r="G344" s="197"/>
      <c r="I344" s="198"/>
    </row>
    <row r="345" spans="5:9" ht="15" customHeight="1">
      <c r="E345" s="197"/>
      <c r="F345" s="197"/>
      <c r="G345" s="197"/>
      <c r="I345" s="198"/>
    </row>
    <row r="346" spans="5:9" ht="15" customHeight="1">
      <c r="E346" s="197"/>
      <c r="F346" s="197"/>
      <c r="G346" s="197"/>
      <c r="I346" s="198"/>
    </row>
    <row r="347" spans="5:9" ht="15" customHeight="1">
      <c r="E347" s="197"/>
      <c r="F347" s="197"/>
      <c r="G347" s="197"/>
      <c r="I347" s="198"/>
    </row>
    <row r="348" spans="5:9" ht="15" customHeight="1">
      <c r="E348" s="197"/>
      <c r="F348" s="197"/>
      <c r="G348" s="197"/>
      <c r="I348" s="198"/>
    </row>
    <row r="349" spans="5:9" ht="15" customHeight="1">
      <c r="E349" s="197"/>
      <c r="F349" s="197"/>
      <c r="G349" s="197"/>
      <c r="I349" s="198"/>
    </row>
    <row r="350" spans="5:9" ht="15" customHeight="1">
      <c r="E350" s="197"/>
      <c r="F350" s="197"/>
      <c r="G350" s="197"/>
      <c r="I350" s="198"/>
    </row>
    <row r="351" spans="5:9" ht="15" customHeight="1">
      <c r="E351" s="197"/>
      <c r="F351" s="197"/>
      <c r="G351" s="197"/>
      <c r="I351" s="198"/>
    </row>
    <row r="352" spans="5:9" ht="15" customHeight="1">
      <c r="E352" s="197"/>
      <c r="F352" s="197"/>
      <c r="G352" s="197"/>
      <c r="I352" s="198"/>
    </row>
    <row r="353" spans="5:9" ht="15" customHeight="1">
      <c r="E353" s="197"/>
      <c r="F353" s="197"/>
      <c r="G353" s="197"/>
      <c r="I353" s="198"/>
    </row>
    <row r="354" spans="5:9" ht="15" customHeight="1">
      <c r="E354" s="197"/>
      <c r="F354" s="197"/>
      <c r="G354" s="197"/>
      <c r="I354" s="198"/>
    </row>
    <row r="355" spans="5:9" ht="15" customHeight="1">
      <c r="E355" s="197"/>
      <c r="F355" s="197"/>
      <c r="G355" s="197"/>
      <c r="I355" s="198"/>
    </row>
    <row r="356" spans="5:9" ht="15" customHeight="1">
      <c r="E356" s="197"/>
      <c r="F356" s="197"/>
      <c r="G356" s="197"/>
      <c r="I356" s="198"/>
    </row>
    <row r="357" spans="5:9" ht="15" customHeight="1">
      <c r="E357" s="197"/>
      <c r="F357" s="197"/>
      <c r="G357" s="197"/>
      <c r="I357" s="198"/>
    </row>
    <row r="358" spans="5:9" ht="15" customHeight="1">
      <c r="E358" s="197"/>
      <c r="F358" s="197"/>
      <c r="G358" s="197"/>
      <c r="I358" s="198"/>
    </row>
    <row r="359" spans="5:9" ht="15" customHeight="1">
      <c r="E359" s="197"/>
      <c r="F359" s="197"/>
      <c r="G359" s="197"/>
      <c r="I359" s="198"/>
    </row>
    <row r="360" spans="5:9" ht="15" customHeight="1">
      <c r="E360" s="197"/>
      <c r="F360" s="197"/>
      <c r="G360" s="197"/>
      <c r="I360" s="198"/>
    </row>
    <row r="361" spans="5:9" ht="15" customHeight="1">
      <c r="E361" s="197"/>
      <c r="F361" s="197"/>
      <c r="G361" s="197"/>
      <c r="I361" s="198"/>
    </row>
    <row r="362" spans="5:9" ht="15" customHeight="1">
      <c r="E362" s="197"/>
      <c r="F362" s="197"/>
      <c r="G362" s="197"/>
      <c r="I362" s="198"/>
    </row>
    <row r="363" spans="5:9" ht="15" customHeight="1">
      <c r="E363" s="197"/>
      <c r="F363" s="197"/>
      <c r="G363" s="197"/>
      <c r="I363" s="198"/>
    </row>
    <row r="364" spans="5:9" ht="15" customHeight="1">
      <c r="E364" s="197"/>
      <c r="F364" s="197"/>
      <c r="G364" s="197"/>
      <c r="I364" s="198"/>
    </row>
    <row r="365" spans="5:9" ht="15" customHeight="1">
      <c r="E365" s="197"/>
      <c r="F365" s="197"/>
      <c r="G365" s="197"/>
      <c r="I365" s="198"/>
    </row>
    <row r="366" spans="5:9" ht="15" customHeight="1">
      <c r="E366" s="197"/>
      <c r="F366" s="197"/>
      <c r="G366" s="197"/>
      <c r="I366" s="198"/>
    </row>
    <row r="367" spans="5:9" ht="15" customHeight="1">
      <c r="E367" s="197"/>
      <c r="F367" s="197"/>
      <c r="G367" s="197"/>
      <c r="I367" s="198"/>
    </row>
    <row r="368" spans="5:9" ht="15" customHeight="1">
      <c r="E368" s="197"/>
      <c r="F368" s="197"/>
      <c r="G368" s="197"/>
      <c r="I368" s="198"/>
    </row>
    <row r="369" spans="5:9" ht="15" customHeight="1">
      <c r="E369" s="197"/>
      <c r="F369" s="197"/>
      <c r="G369" s="197"/>
      <c r="I369" s="198"/>
    </row>
    <row r="370" spans="5:9" ht="15" customHeight="1">
      <c r="E370" s="197"/>
      <c r="F370" s="197"/>
      <c r="G370" s="197"/>
      <c r="I370" s="198"/>
    </row>
    <row r="371" spans="5:9" ht="15" customHeight="1">
      <c r="E371" s="197"/>
      <c r="F371" s="197"/>
      <c r="G371" s="197"/>
      <c r="I371" s="198"/>
    </row>
    <row r="372" spans="5:9" ht="15" customHeight="1">
      <c r="E372" s="197"/>
      <c r="F372" s="197"/>
      <c r="G372" s="197"/>
      <c r="I372" s="198"/>
    </row>
    <row r="373" spans="5:9" ht="15" customHeight="1">
      <c r="E373" s="197"/>
      <c r="F373" s="197"/>
      <c r="G373" s="197"/>
      <c r="I373" s="198"/>
    </row>
    <row r="374" spans="5:9" ht="15" customHeight="1">
      <c r="E374" s="197"/>
      <c r="F374" s="197"/>
      <c r="G374" s="197"/>
      <c r="I374" s="198"/>
    </row>
    <row r="375" spans="5:9" ht="15" customHeight="1">
      <c r="E375" s="197"/>
      <c r="F375" s="197"/>
      <c r="G375" s="197"/>
      <c r="I375" s="198"/>
    </row>
    <row r="376" spans="5:9" ht="15" customHeight="1">
      <c r="E376" s="197"/>
      <c r="F376" s="197"/>
      <c r="G376" s="197"/>
      <c r="I376" s="198"/>
    </row>
    <row r="377" spans="5:9" ht="15" customHeight="1">
      <c r="E377" s="197"/>
      <c r="F377" s="197"/>
      <c r="G377" s="197"/>
      <c r="I377" s="198"/>
    </row>
    <row r="378" spans="5:9" ht="15" customHeight="1">
      <c r="E378" s="197"/>
      <c r="F378" s="197"/>
      <c r="G378" s="197"/>
      <c r="I378" s="198"/>
    </row>
    <row r="379" spans="5:9" ht="15" customHeight="1">
      <c r="E379" s="197"/>
      <c r="F379" s="197"/>
      <c r="G379" s="197"/>
      <c r="I379" s="198"/>
    </row>
    <row r="380" spans="5:9" ht="15" customHeight="1">
      <c r="E380" s="197"/>
      <c r="F380" s="197"/>
      <c r="G380" s="197"/>
      <c r="I380" s="198"/>
    </row>
    <row r="381" spans="5:9" ht="15" customHeight="1">
      <c r="E381" s="197"/>
      <c r="F381" s="197"/>
      <c r="G381" s="197"/>
      <c r="I381" s="198"/>
    </row>
    <row r="382" spans="5:9" ht="15" customHeight="1">
      <c r="E382" s="197"/>
      <c r="F382" s="197"/>
      <c r="G382" s="197"/>
      <c r="I382" s="198"/>
    </row>
    <row r="383" spans="5:9" ht="15" customHeight="1">
      <c r="E383" s="197"/>
      <c r="F383" s="197"/>
      <c r="G383" s="197"/>
      <c r="I383" s="198"/>
    </row>
    <row r="384" spans="5:9" ht="15" customHeight="1">
      <c r="E384" s="197"/>
      <c r="F384" s="197"/>
      <c r="G384" s="197"/>
      <c r="I384" s="198"/>
    </row>
    <row r="385" spans="5:9" ht="15" customHeight="1">
      <c r="E385" s="197"/>
      <c r="F385" s="197"/>
      <c r="G385" s="197"/>
      <c r="I385" s="198"/>
    </row>
    <row r="386" spans="5:9" ht="15" customHeight="1">
      <c r="E386" s="197"/>
      <c r="F386" s="197"/>
      <c r="G386" s="197"/>
      <c r="I386" s="198"/>
    </row>
    <row r="387" spans="5:9" ht="15" customHeight="1">
      <c r="E387" s="197"/>
      <c r="F387" s="197"/>
      <c r="G387" s="197"/>
      <c r="I387" s="198"/>
    </row>
    <row r="388" spans="5:9" ht="15" customHeight="1">
      <c r="E388" s="197"/>
      <c r="F388" s="197"/>
      <c r="G388" s="197"/>
      <c r="I388" s="198"/>
    </row>
    <row r="389" spans="5:9" ht="15" customHeight="1">
      <c r="E389" s="197"/>
      <c r="F389" s="197"/>
      <c r="G389" s="197"/>
      <c r="I389" s="198"/>
    </row>
    <row r="390" spans="5:9" ht="15" customHeight="1">
      <c r="E390" s="197"/>
      <c r="F390" s="197"/>
      <c r="G390" s="197"/>
      <c r="I390" s="198"/>
    </row>
    <row r="391" spans="5:9" ht="15" customHeight="1">
      <c r="E391" s="197"/>
      <c r="F391" s="197"/>
      <c r="G391" s="197"/>
      <c r="I391" s="198"/>
    </row>
    <row r="392" spans="5:9" ht="15" customHeight="1">
      <c r="E392" s="197"/>
      <c r="F392" s="197"/>
      <c r="G392" s="197"/>
      <c r="I392" s="198"/>
    </row>
    <row r="393" spans="5:9" ht="15" customHeight="1">
      <c r="E393" s="197"/>
      <c r="F393" s="197"/>
      <c r="G393" s="197"/>
      <c r="I393" s="198"/>
    </row>
    <row r="394" spans="5:9" ht="15" customHeight="1">
      <c r="E394" s="197"/>
      <c r="F394" s="197"/>
      <c r="G394" s="197"/>
      <c r="I394" s="198"/>
    </row>
    <row r="395" spans="5:9" ht="15" customHeight="1">
      <c r="E395" s="197"/>
      <c r="F395" s="197"/>
      <c r="G395" s="197"/>
      <c r="I395" s="198"/>
    </row>
    <row r="396" spans="5:9" ht="15" customHeight="1">
      <c r="E396" s="197"/>
      <c r="F396" s="197"/>
      <c r="G396" s="197"/>
      <c r="I396" s="198"/>
    </row>
    <row r="397" spans="5:9" ht="15" customHeight="1">
      <c r="E397" s="197"/>
      <c r="F397" s="197"/>
      <c r="G397" s="197"/>
      <c r="I397" s="198"/>
    </row>
    <row r="398" spans="5:9" ht="15" customHeight="1">
      <c r="E398" s="197"/>
      <c r="F398" s="197"/>
      <c r="G398" s="197"/>
      <c r="I398" s="198"/>
    </row>
    <row r="399" spans="5:9" ht="15" customHeight="1">
      <c r="E399" s="197"/>
      <c r="F399" s="197"/>
      <c r="G399" s="197"/>
      <c r="I399" s="198"/>
    </row>
    <row r="400" spans="5:9" ht="15" customHeight="1">
      <c r="E400" s="197"/>
      <c r="F400" s="197"/>
      <c r="G400" s="197"/>
      <c r="I400" s="198"/>
    </row>
    <row r="401" spans="5:9" ht="15" customHeight="1">
      <c r="E401" s="197"/>
      <c r="F401" s="197"/>
      <c r="G401" s="197"/>
      <c r="I401" s="198"/>
    </row>
    <row r="402" spans="5:9" ht="15" customHeight="1">
      <c r="E402" s="197"/>
      <c r="F402" s="197"/>
      <c r="G402" s="197"/>
      <c r="I402" s="198"/>
    </row>
    <row r="403" spans="5:9" ht="15" customHeight="1">
      <c r="E403" s="197"/>
      <c r="F403" s="197"/>
      <c r="G403" s="197"/>
      <c r="I403" s="198"/>
    </row>
    <row r="404" spans="5:9" ht="15" customHeight="1">
      <c r="E404" s="197"/>
      <c r="F404" s="197"/>
      <c r="G404" s="197"/>
      <c r="I404" s="198"/>
    </row>
    <row r="405" spans="5:9" ht="15" customHeight="1">
      <c r="E405" s="197"/>
      <c r="F405" s="197"/>
      <c r="G405" s="197"/>
      <c r="I405" s="198"/>
    </row>
    <row r="406" spans="5:9" ht="15" customHeight="1">
      <c r="E406" s="197"/>
      <c r="F406" s="197"/>
      <c r="G406" s="197"/>
      <c r="I406" s="198"/>
    </row>
    <row r="407" spans="5:9" ht="15" customHeight="1">
      <c r="E407" s="197"/>
      <c r="F407" s="197"/>
      <c r="G407" s="197"/>
      <c r="I407" s="198"/>
    </row>
    <row r="408" spans="5:9" ht="15" customHeight="1">
      <c r="E408" s="197"/>
      <c r="F408" s="197"/>
      <c r="G408" s="197"/>
      <c r="I408" s="198"/>
    </row>
    <row r="409" spans="5:9" ht="15" customHeight="1">
      <c r="E409" s="197"/>
      <c r="F409" s="197"/>
      <c r="G409" s="197"/>
      <c r="I409" s="198"/>
    </row>
    <row r="410" spans="5:9" ht="15" customHeight="1">
      <c r="E410" s="197"/>
      <c r="F410" s="197"/>
      <c r="G410" s="197"/>
      <c r="I410" s="198"/>
    </row>
    <row r="411" spans="5:9" ht="15" customHeight="1">
      <c r="E411" s="197"/>
      <c r="F411" s="197"/>
      <c r="G411" s="197"/>
      <c r="I411" s="198"/>
    </row>
    <row r="412" spans="5:9" ht="15" customHeight="1">
      <c r="E412" s="197"/>
      <c r="F412" s="197"/>
      <c r="G412" s="197"/>
      <c r="I412" s="198"/>
    </row>
    <row r="413" spans="5:9" ht="15" customHeight="1">
      <c r="E413" s="197"/>
      <c r="F413" s="197"/>
      <c r="G413" s="197"/>
      <c r="I413" s="198"/>
    </row>
    <row r="414" spans="5:9" ht="15" customHeight="1">
      <c r="E414" s="197"/>
      <c r="F414" s="197"/>
      <c r="G414" s="197"/>
      <c r="I414" s="198"/>
    </row>
    <row r="415" spans="5:9" ht="15" customHeight="1">
      <c r="E415" s="197"/>
      <c r="F415" s="197"/>
      <c r="G415" s="197"/>
      <c r="I415" s="198"/>
    </row>
    <row r="416" spans="5:9" ht="15" customHeight="1">
      <c r="E416" s="197"/>
      <c r="F416" s="197"/>
      <c r="G416" s="197"/>
      <c r="I416" s="198"/>
    </row>
    <row r="417" spans="5:9" ht="15" customHeight="1">
      <c r="E417" s="197"/>
      <c r="F417" s="197"/>
      <c r="G417" s="197"/>
      <c r="I417" s="198"/>
    </row>
    <row r="418" spans="5:9" ht="15" customHeight="1">
      <c r="E418" s="197"/>
      <c r="F418" s="197"/>
      <c r="G418" s="197"/>
      <c r="I418" s="198"/>
    </row>
    <row r="419" spans="5:9" ht="15" customHeight="1">
      <c r="E419" s="197"/>
      <c r="F419" s="197"/>
      <c r="G419" s="197"/>
      <c r="I419" s="198"/>
    </row>
    <row r="420" spans="5:9" ht="15" customHeight="1">
      <c r="E420" s="197"/>
      <c r="F420" s="197"/>
      <c r="G420" s="197"/>
      <c r="I420" s="198"/>
    </row>
    <row r="421" spans="5:9" ht="15" customHeight="1">
      <c r="E421" s="197"/>
      <c r="F421" s="197"/>
      <c r="G421" s="197"/>
      <c r="I421" s="198"/>
    </row>
    <row r="422" spans="5:9" ht="15" customHeight="1">
      <c r="E422" s="197"/>
      <c r="F422" s="197"/>
      <c r="G422" s="197"/>
      <c r="I422" s="198"/>
    </row>
    <row r="423" spans="5:9" ht="15" customHeight="1">
      <c r="E423" s="197"/>
      <c r="F423" s="197"/>
      <c r="G423" s="197"/>
      <c r="I423" s="198"/>
    </row>
    <row r="424" spans="5:9" ht="15" customHeight="1">
      <c r="E424" s="197"/>
      <c r="F424" s="197"/>
      <c r="G424" s="197"/>
      <c r="I424" s="198"/>
    </row>
    <row r="425" spans="5:9" ht="15" customHeight="1">
      <c r="E425" s="197"/>
      <c r="F425" s="197"/>
      <c r="G425" s="197"/>
      <c r="I425" s="198"/>
    </row>
    <row r="426" spans="5:9" ht="15" customHeight="1">
      <c r="E426" s="197"/>
      <c r="F426" s="197"/>
      <c r="G426" s="197"/>
      <c r="I426" s="198"/>
    </row>
    <row r="427" spans="5:9" ht="15" customHeight="1">
      <c r="E427" s="197"/>
      <c r="F427" s="197"/>
      <c r="G427" s="197"/>
      <c r="I427" s="198"/>
    </row>
    <row r="428" spans="5:9" ht="15" customHeight="1">
      <c r="E428" s="197"/>
      <c r="F428" s="197"/>
      <c r="G428" s="197"/>
      <c r="I428" s="198"/>
    </row>
    <row r="429" spans="5:9" ht="15" customHeight="1">
      <c r="E429" s="197"/>
      <c r="F429" s="197"/>
      <c r="G429" s="197"/>
      <c r="I429" s="198"/>
    </row>
    <row r="430" spans="5:9" ht="15" customHeight="1">
      <c r="E430" s="197"/>
      <c r="F430" s="197"/>
      <c r="G430" s="197"/>
      <c r="I430" s="198"/>
    </row>
    <row r="431" spans="5:9" ht="15" customHeight="1">
      <c r="E431" s="197"/>
      <c r="F431" s="197"/>
      <c r="G431" s="197"/>
      <c r="I431" s="198"/>
    </row>
    <row r="432" spans="5:9" ht="15" customHeight="1">
      <c r="E432" s="197"/>
      <c r="F432" s="197"/>
      <c r="G432" s="197"/>
      <c r="I432" s="198"/>
    </row>
    <row r="433" spans="5:9" ht="15" customHeight="1">
      <c r="E433" s="197"/>
      <c r="F433" s="197"/>
      <c r="G433" s="197"/>
      <c r="I433" s="198"/>
    </row>
    <row r="434" spans="5:9" ht="15" customHeight="1">
      <c r="E434" s="197"/>
      <c r="F434" s="197"/>
      <c r="G434" s="197"/>
      <c r="I434" s="198"/>
    </row>
    <row r="435" spans="5:9" ht="15" customHeight="1">
      <c r="E435" s="197"/>
      <c r="F435" s="197"/>
      <c r="G435" s="197"/>
      <c r="I435" s="198"/>
    </row>
    <row r="436" spans="5:9" ht="15" customHeight="1">
      <c r="E436" s="197"/>
      <c r="F436" s="197"/>
      <c r="G436" s="197"/>
      <c r="I436" s="198"/>
    </row>
    <row r="437" spans="5:9" ht="15" customHeight="1">
      <c r="E437" s="197"/>
      <c r="F437" s="197"/>
      <c r="G437" s="197"/>
      <c r="I437" s="198"/>
    </row>
    <row r="438" spans="5:9" ht="15" customHeight="1">
      <c r="E438" s="197"/>
      <c r="F438" s="197"/>
      <c r="G438" s="197"/>
      <c r="I438" s="198"/>
    </row>
    <row r="439" spans="5:9" ht="15" customHeight="1">
      <c r="E439" s="197"/>
      <c r="F439" s="197"/>
      <c r="G439" s="197"/>
      <c r="I439" s="198"/>
    </row>
    <row r="440" spans="5:9" ht="15" customHeight="1">
      <c r="E440" s="197"/>
      <c r="F440" s="197"/>
      <c r="G440" s="197"/>
      <c r="I440" s="198"/>
    </row>
    <row r="441" spans="5:9" ht="15" customHeight="1">
      <c r="E441" s="197"/>
      <c r="F441" s="197"/>
      <c r="G441" s="197"/>
      <c r="I441" s="198"/>
    </row>
    <row r="442" spans="5:9" ht="15" customHeight="1">
      <c r="E442" s="197"/>
      <c r="F442" s="197"/>
      <c r="G442" s="197"/>
      <c r="I442" s="198"/>
    </row>
    <row r="443" spans="5:9" ht="15" customHeight="1">
      <c r="E443" s="197"/>
      <c r="F443" s="197"/>
      <c r="G443" s="197"/>
      <c r="I443" s="198"/>
    </row>
    <row r="444" spans="5:9" ht="15" customHeight="1">
      <c r="E444" s="197"/>
      <c r="F444" s="197"/>
      <c r="G444" s="197"/>
      <c r="I444" s="198"/>
    </row>
    <row r="445" spans="5:9" ht="15" customHeight="1">
      <c r="E445" s="197"/>
      <c r="F445" s="197"/>
      <c r="G445" s="197"/>
      <c r="I445" s="198"/>
    </row>
    <row r="446" spans="5:9" ht="15" customHeight="1">
      <c r="E446" s="197"/>
      <c r="F446" s="197"/>
      <c r="G446" s="197"/>
      <c r="I446" s="198"/>
    </row>
    <row r="447" spans="5:9" ht="15" customHeight="1">
      <c r="E447" s="197"/>
      <c r="F447" s="197"/>
      <c r="G447" s="197"/>
      <c r="I447" s="198"/>
    </row>
    <row r="448" spans="5:9" ht="15" customHeight="1">
      <c r="E448" s="197"/>
      <c r="F448" s="197"/>
      <c r="G448" s="197"/>
      <c r="I448" s="198"/>
    </row>
    <row r="449" spans="5:9" ht="15" customHeight="1">
      <c r="E449" s="197"/>
      <c r="F449" s="197"/>
      <c r="G449" s="197"/>
      <c r="I449" s="198"/>
    </row>
    <row r="450" spans="5:9" ht="15" customHeight="1">
      <c r="E450" s="197"/>
      <c r="F450" s="197"/>
      <c r="G450" s="197"/>
      <c r="I450" s="198"/>
    </row>
    <row r="451" spans="5:9" ht="15" customHeight="1">
      <c r="E451" s="197"/>
      <c r="F451" s="197"/>
      <c r="G451" s="197"/>
      <c r="I451" s="198"/>
    </row>
    <row r="452" spans="5:9" ht="15" customHeight="1">
      <c r="E452" s="197"/>
      <c r="F452" s="197"/>
      <c r="G452" s="197"/>
      <c r="I452" s="198"/>
    </row>
    <row r="453" spans="5:9" ht="15" customHeight="1">
      <c r="E453" s="197"/>
      <c r="F453" s="197"/>
      <c r="G453" s="197"/>
      <c r="I453" s="198"/>
    </row>
    <row r="454" spans="5:9" ht="15" customHeight="1">
      <c r="E454" s="197"/>
      <c r="F454" s="197"/>
      <c r="G454" s="197"/>
      <c r="I454" s="198"/>
    </row>
    <row r="455" spans="5:9" ht="15" customHeight="1">
      <c r="E455" s="197"/>
      <c r="F455" s="197"/>
      <c r="G455" s="197"/>
      <c r="I455" s="198"/>
    </row>
    <row r="456" spans="5:9" ht="15" customHeight="1">
      <c r="E456" s="197"/>
      <c r="F456" s="197"/>
      <c r="G456" s="197"/>
      <c r="I456" s="198"/>
    </row>
    <row r="457" spans="5:9" ht="15" customHeight="1">
      <c r="E457" s="197"/>
      <c r="F457" s="197"/>
      <c r="G457" s="197"/>
      <c r="I457" s="198"/>
    </row>
    <row r="458" spans="5:9" ht="15" customHeight="1">
      <c r="E458" s="197"/>
      <c r="F458" s="197"/>
      <c r="G458" s="197"/>
      <c r="I458" s="198"/>
    </row>
    <row r="459" spans="5:9" ht="15" customHeight="1">
      <c r="E459" s="197"/>
      <c r="F459" s="197"/>
      <c r="G459" s="197"/>
      <c r="I459" s="198"/>
    </row>
    <row r="460" spans="5:9" ht="15" customHeight="1">
      <c r="E460" s="197"/>
      <c r="F460" s="197"/>
      <c r="G460" s="197"/>
      <c r="I460" s="198"/>
    </row>
    <row r="461" spans="5:9" ht="15" customHeight="1">
      <c r="E461" s="197"/>
      <c r="F461" s="197"/>
      <c r="G461" s="197"/>
      <c r="I461" s="198"/>
    </row>
    <row r="462" spans="5:9" ht="15" customHeight="1">
      <c r="E462" s="197"/>
      <c r="F462" s="197"/>
      <c r="G462" s="197"/>
      <c r="I462" s="198"/>
    </row>
    <row r="463" spans="5:9" ht="15" customHeight="1">
      <c r="E463" s="197"/>
      <c r="F463" s="197"/>
      <c r="G463" s="197"/>
      <c r="I463" s="198"/>
    </row>
    <row r="464" spans="5:9" ht="15" customHeight="1">
      <c r="E464" s="197"/>
      <c r="F464" s="197"/>
      <c r="G464" s="197"/>
      <c r="I464" s="198"/>
    </row>
    <row r="465" spans="5:9" ht="15" customHeight="1">
      <c r="E465" s="197"/>
      <c r="F465" s="197"/>
      <c r="G465" s="197"/>
      <c r="I465" s="198"/>
    </row>
    <row r="466" spans="5:9" ht="15" customHeight="1">
      <c r="E466" s="197"/>
      <c r="F466" s="197"/>
      <c r="G466" s="197"/>
      <c r="I466" s="198"/>
    </row>
    <row r="467" spans="5:9" ht="15" customHeight="1">
      <c r="E467" s="197"/>
      <c r="F467" s="197"/>
      <c r="G467" s="197"/>
      <c r="I467" s="198"/>
    </row>
    <row r="468" spans="5:9" ht="15" customHeight="1">
      <c r="E468" s="197"/>
      <c r="F468" s="197"/>
      <c r="G468" s="197"/>
      <c r="I468" s="198"/>
    </row>
    <row r="469" spans="5:9" ht="15" customHeight="1">
      <c r="E469" s="197"/>
      <c r="F469" s="197"/>
      <c r="G469" s="197"/>
      <c r="I469" s="198"/>
    </row>
    <row r="470" spans="5:9" ht="15" customHeight="1">
      <c r="E470" s="197"/>
      <c r="F470" s="197"/>
      <c r="G470" s="197"/>
      <c r="I470" s="198"/>
    </row>
    <row r="471" spans="5:9" ht="15" customHeight="1">
      <c r="E471" s="197"/>
      <c r="F471" s="197"/>
      <c r="G471" s="197"/>
      <c r="I471" s="198"/>
    </row>
    <row r="472" spans="5:9" ht="15" customHeight="1">
      <c r="E472" s="197"/>
      <c r="F472" s="197"/>
      <c r="G472" s="197"/>
      <c r="I472" s="198"/>
    </row>
    <row r="473" spans="5:9" ht="15" customHeight="1">
      <c r="E473" s="197"/>
      <c r="F473" s="197"/>
      <c r="G473" s="197"/>
      <c r="I473" s="198"/>
    </row>
    <row r="474" spans="5:9" ht="15" customHeight="1">
      <c r="E474" s="197"/>
      <c r="F474" s="197"/>
      <c r="G474" s="197"/>
      <c r="I474" s="198"/>
    </row>
    <row r="475" spans="5:9" ht="15" customHeight="1">
      <c r="E475" s="197"/>
      <c r="F475" s="197"/>
      <c r="G475" s="197"/>
      <c r="I475" s="198"/>
    </row>
    <row r="476" spans="5:9" ht="15" customHeight="1">
      <c r="E476" s="197"/>
      <c r="F476" s="197"/>
      <c r="G476" s="197"/>
      <c r="I476" s="198"/>
    </row>
    <row r="477" spans="5:9" ht="15" customHeight="1">
      <c r="E477" s="197"/>
      <c r="F477" s="197"/>
      <c r="G477" s="197"/>
      <c r="I477" s="198"/>
    </row>
    <row r="478" spans="5:9" ht="15" customHeight="1">
      <c r="E478" s="197"/>
      <c r="F478" s="197"/>
      <c r="G478" s="197"/>
      <c r="I478" s="198"/>
    </row>
    <row r="479" spans="5:9" ht="15" customHeight="1">
      <c r="E479" s="197"/>
      <c r="F479" s="197"/>
      <c r="G479" s="197"/>
      <c r="I479" s="198"/>
    </row>
    <row r="480" spans="5:9" ht="15" customHeight="1">
      <c r="E480" s="197"/>
      <c r="F480" s="197"/>
      <c r="G480" s="197"/>
      <c r="I480" s="198"/>
    </row>
    <row r="481" spans="5:9" ht="15" customHeight="1">
      <c r="E481" s="197"/>
      <c r="F481" s="197"/>
      <c r="G481" s="197"/>
      <c r="I481" s="198"/>
    </row>
    <row r="482" spans="5:9" ht="15" customHeight="1">
      <c r="E482" s="197"/>
      <c r="F482" s="197"/>
      <c r="G482" s="197"/>
      <c r="I482" s="198"/>
    </row>
    <row r="483" spans="5:9" ht="15" customHeight="1">
      <c r="E483" s="197"/>
      <c r="F483" s="197"/>
      <c r="G483" s="197"/>
      <c r="I483" s="198"/>
    </row>
    <row r="484" spans="5:9" ht="15" customHeight="1">
      <c r="E484" s="197"/>
      <c r="F484" s="197"/>
      <c r="G484" s="197"/>
      <c r="I484" s="198"/>
    </row>
    <row r="485" spans="5:9" ht="15" customHeight="1">
      <c r="E485" s="197"/>
      <c r="F485" s="197"/>
      <c r="G485" s="197"/>
      <c r="I485" s="198"/>
    </row>
    <row r="486" spans="5:9" ht="15" customHeight="1">
      <c r="E486" s="197"/>
      <c r="F486" s="197"/>
      <c r="G486" s="197"/>
      <c r="I486" s="198"/>
    </row>
    <row r="487" spans="5:9" ht="15" customHeight="1">
      <c r="E487" s="197"/>
      <c r="F487" s="197"/>
      <c r="G487" s="197"/>
      <c r="I487" s="198"/>
    </row>
    <row r="488" spans="5:9" ht="15" customHeight="1">
      <c r="E488" s="197"/>
      <c r="F488" s="197"/>
      <c r="G488" s="197"/>
      <c r="I488" s="198"/>
    </row>
    <row r="489" spans="5:9" ht="15" customHeight="1">
      <c r="E489" s="197"/>
      <c r="F489" s="197"/>
      <c r="G489" s="197"/>
      <c r="I489" s="198"/>
    </row>
    <row r="490" spans="5:9" ht="15" customHeight="1">
      <c r="E490" s="197"/>
      <c r="F490" s="197"/>
      <c r="G490" s="197"/>
      <c r="I490" s="198"/>
    </row>
    <row r="491" spans="5:9" ht="15" customHeight="1">
      <c r="E491" s="197"/>
      <c r="F491" s="197"/>
      <c r="G491" s="197"/>
      <c r="I491" s="198"/>
    </row>
    <row r="492" spans="5:9" ht="15" customHeight="1">
      <c r="E492" s="197"/>
      <c r="F492" s="197"/>
      <c r="G492" s="197"/>
      <c r="I492" s="198"/>
    </row>
    <row r="493" spans="5:9" ht="15" customHeight="1">
      <c r="E493" s="197"/>
      <c r="F493" s="197"/>
      <c r="G493" s="197"/>
      <c r="I493" s="198"/>
    </row>
    <row r="494" spans="5:9" ht="15" customHeight="1">
      <c r="E494" s="197"/>
      <c r="F494" s="197"/>
      <c r="G494" s="197"/>
      <c r="I494" s="198"/>
    </row>
    <row r="495" spans="5:9" ht="15" customHeight="1">
      <c r="E495" s="197"/>
      <c r="F495" s="197"/>
      <c r="G495" s="197"/>
      <c r="I495" s="198"/>
    </row>
    <row r="496" spans="5:9" ht="15" customHeight="1">
      <c r="E496" s="197"/>
      <c r="F496" s="197"/>
      <c r="G496" s="197"/>
      <c r="I496" s="198"/>
    </row>
    <row r="497" spans="5:9" ht="15" customHeight="1">
      <c r="E497" s="197"/>
      <c r="F497" s="197"/>
      <c r="G497" s="197"/>
      <c r="I497" s="198"/>
    </row>
    <row r="498" spans="5:9" ht="15" customHeight="1">
      <c r="E498" s="197"/>
      <c r="F498" s="197"/>
      <c r="G498" s="197"/>
      <c r="I498" s="198"/>
    </row>
    <row r="499" spans="5:9" ht="15" customHeight="1">
      <c r="E499" s="197"/>
      <c r="F499" s="197"/>
      <c r="G499" s="197"/>
      <c r="I499" s="198"/>
    </row>
    <row r="500" spans="5:9" ht="15" customHeight="1">
      <c r="E500" s="197"/>
      <c r="F500" s="197"/>
      <c r="G500" s="197"/>
      <c r="I500" s="198"/>
    </row>
    <row r="501" spans="5:9" ht="15" customHeight="1">
      <c r="E501" s="197"/>
      <c r="F501" s="197"/>
      <c r="G501" s="197"/>
      <c r="I501" s="198"/>
    </row>
    <row r="502" spans="5:9" ht="15" customHeight="1">
      <c r="E502" s="197"/>
      <c r="F502" s="197"/>
      <c r="G502" s="197"/>
      <c r="I502" s="198"/>
    </row>
    <row r="503" spans="5:9" ht="15" customHeight="1">
      <c r="E503" s="197"/>
      <c r="F503" s="197"/>
      <c r="G503" s="197"/>
      <c r="I503" s="198"/>
    </row>
    <row r="504" spans="5:9" ht="15" customHeight="1">
      <c r="E504" s="197"/>
      <c r="F504" s="197"/>
      <c r="G504" s="197"/>
      <c r="I504" s="198"/>
    </row>
    <row r="505" spans="5:9" ht="15" customHeight="1">
      <c r="E505" s="197"/>
      <c r="F505" s="197"/>
      <c r="G505" s="197"/>
      <c r="I505" s="198"/>
    </row>
    <row r="506" spans="5:9" ht="15" customHeight="1">
      <c r="E506" s="197"/>
      <c r="F506" s="197"/>
      <c r="G506" s="197"/>
      <c r="I506" s="198"/>
    </row>
    <row r="507" spans="5:9" ht="15" customHeight="1">
      <c r="E507" s="197"/>
      <c r="F507" s="197"/>
      <c r="G507" s="197"/>
      <c r="I507" s="198"/>
    </row>
    <row r="508" spans="5:9" ht="15" customHeight="1">
      <c r="E508" s="197"/>
      <c r="F508" s="197"/>
      <c r="G508" s="197"/>
      <c r="I508" s="198"/>
    </row>
    <row r="509" spans="5:9" ht="15" customHeight="1">
      <c r="E509" s="197"/>
      <c r="F509" s="197"/>
      <c r="G509" s="197"/>
      <c r="I509" s="198"/>
    </row>
    <row r="510" spans="5:9" ht="15" customHeight="1">
      <c r="E510" s="197"/>
      <c r="F510" s="197"/>
      <c r="G510" s="197"/>
      <c r="I510" s="198"/>
    </row>
    <row r="511" spans="5:9" ht="15" customHeight="1">
      <c r="E511" s="197"/>
      <c r="F511" s="197"/>
      <c r="G511" s="197"/>
      <c r="I511" s="198"/>
    </row>
    <row r="512" spans="5:9" ht="15" customHeight="1">
      <c r="E512" s="197"/>
      <c r="F512" s="197"/>
      <c r="G512" s="197"/>
      <c r="I512" s="198"/>
    </row>
    <row r="513" spans="5:9" ht="15" customHeight="1">
      <c r="E513" s="197"/>
      <c r="F513" s="197"/>
      <c r="G513" s="197"/>
      <c r="I513" s="198"/>
    </row>
    <row r="514" spans="5:9" ht="15" customHeight="1">
      <c r="E514" s="197"/>
      <c r="F514" s="197"/>
      <c r="G514" s="197"/>
      <c r="I514" s="198"/>
    </row>
    <row r="515" spans="5:9" ht="15" customHeight="1">
      <c r="E515" s="197"/>
      <c r="F515" s="197"/>
      <c r="G515" s="197"/>
      <c r="I515" s="198"/>
    </row>
    <row r="516" spans="5:9" ht="15" customHeight="1">
      <c r="E516" s="197"/>
      <c r="F516" s="197"/>
      <c r="G516" s="197"/>
      <c r="I516" s="198"/>
    </row>
    <row r="517" spans="5:9" ht="15" customHeight="1">
      <c r="E517" s="197"/>
      <c r="F517" s="197"/>
      <c r="G517" s="197"/>
      <c r="I517" s="198"/>
    </row>
    <row r="518" spans="5:9" ht="15" customHeight="1">
      <c r="E518" s="197"/>
      <c r="F518" s="197"/>
      <c r="G518" s="197"/>
      <c r="I518" s="198"/>
    </row>
    <row r="519" spans="5:9" ht="15" customHeight="1">
      <c r="E519" s="197"/>
      <c r="F519" s="197"/>
      <c r="G519" s="197"/>
      <c r="I519" s="198"/>
    </row>
    <row r="520" spans="5:9" ht="15" customHeight="1">
      <c r="E520" s="197"/>
      <c r="F520" s="197"/>
      <c r="G520" s="197"/>
      <c r="I520" s="198"/>
    </row>
    <row r="521" spans="5:9" ht="15" customHeight="1">
      <c r="E521" s="197"/>
      <c r="F521" s="197"/>
      <c r="G521" s="197"/>
      <c r="I521" s="198"/>
    </row>
    <row r="522" spans="5:9" ht="15" customHeight="1">
      <c r="E522" s="197"/>
      <c r="F522" s="197"/>
      <c r="G522" s="197"/>
      <c r="I522" s="198"/>
    </row>
    <row r="523" spans="5:9" ht="15" customHeight="1">
      <c r="E523" s="197"/>
      <c r="F523" s="197"/>
      <c r="G523" s="197"/>
      <c r="I523" s="198"/>
    </row>
    <row r="524" spans="5:9" ht="15" customHeight="1">
      <c r="E524" s="197"/>
      <c r="F524" s="197"/>
      <c r="G524" s="197"/>
      <c r="I524" s="198"/>
    </row>
    <row r="525" spans="5:9" ht="15" customHeight="1">
      <c r="E525" s="197"/>
      <c r="F525" s="197"/>
      <c r="G525" s="197"/>
      <c r="I525" s="198"/>
    </row>
    <row r="526" spans="5:9" ht="15" customHeight="1">
      <c r="E526" s="197"/>
      <c r="F526" s="197"/>
      <c r="G526" s="197"/>
      <c r="I526" s="198"/>
    </row>
    <row r="527" spans="5:9" ht="15" customHeight="1">
      <c r="E527" s="197"/>
      <c r="F527" s="197"/>
      <c r="G527" s="197"/>
      <c r="I527" s="198"/>
    </row>
    <row r="528" spans="5:9" ht="15" customHeight="1">
      <c r="E528" s="197"/>
      <c r="F528" s="197"/>
      <c r="G528" s="197"/>
      <c r="I528" s="198"/>
    </row>
    <row r="529" spans="5:9" ht="15" customHeight="1">
      <c r="E529" s="197"/>
      <c r="F529" s="197"/>
      <c r="G529" s="197"/>
      <c r="I529" s="198"/>
    </row>
    <row r="530" spans="5:9" ht="15" customHeight="1">
      <c r="E530" s="197"/>
      <c r="F530" s="197"/>
      <c r="G530" s="197"/>
      <c r="I530" s="198"/>
    </row>
    <row r="531" spans="5:9" ht="15" customHeight="1">
      <c r="E531" s="197"/>
      <c r="F531" s="197"/>
      <c r="G531" s="197"/>
      <c r="I531" s="198"/>
    </row>
    <row r="532" spans="5:9" ht="15" customHeight="1">
      <c r="E532" s="197"/>
      <c r="F532" s="197"/>
      <c r="G532" s="197"/>
      <c r="I532" s="198"/>
    </row>
    <row r="533" spans="5:9" ht="15" customHeight="1">
      <c r="E533" s="197"/>
      <c r="F533" s="197"/>
      <c r="G533" s="197"/>
      <c r="I533" s="198"/>
    </row>
    <row r="534" spans="5:9" ht="15" customHeight="1">
      <c r="E534" s="197"/>
      <c r="F534" s="197"/>
      <c r="G534" s="197"/>
      <c r="I534" s="198"/>
    </row>
    <row r="535" spans="5:9" ht="15" customHeight="1">
      <c r="E535" s="197"/>
      <c r="F535" s="197"/>
      <c r="G535" s="197"/>
      <c r="I535" s="198"/>
    </row>
    <row r="536" spans="5:9" ht="15" customHeight="1">
      <c r="E536" s="197"/>
      <c r="F536" s="197"/>
      <c r="G536" s="197"/>
      <c r="I536" s="198"/>
    </row>
    <row r="537" spans="5:9" ht="15" customHeight="1">
      <c r="E537" s="197"/>
      <c r="F537" s="197"/>
      <c r="G537" s="197"/>
      <c r="I537" s="198"/>
    </row>
    <row r="538" spans="5:9" ht="15" customHeight="1">
      <c r="E538" s="197"/>
      <c r="F538" s="197"/>
      <c r="G538" s="197"/>
      <c r="I538" s="198"/>
    </row>
    <row r="539" spans="5:9" ht="15" customHeight="1">
      <c r="E539" s="197"/>
      <c r="F539" s="197"/>
      <c r="G539" s="197"/>
      <c r="I539" s="198"/>
    </row>
    <row r="540" spans="5:9" ht="15" customHeight="1">
      <c r="E540" s="197"/>
      <c r="F540" s="197"/>
      <c r="G540" s="197"/>
      <c r="I540" s="198"/>
    </row>
    <row r="541" spans="5:9" ht="15" customHeight="1">
      <c r="E541" s="197"/>
      <c r="F541" s="197"/>
      <c r="G541" s="197"/>
      <c r="I541" s="198"/>
    </row>
    <row r="542" spans="5:9" ht="15" customHeight="1">
      <c r="E542" s="197"/>
      <c r="F542" s="197"/>
      <c r="G542" s="197"/>
      <c r="I542" s="198"/>
    </row>
    <row r="543" spans="5:9" ht="15" customHeight="1">
      <c r="E543" s="197"/>
      <c r="F543" s="197"/>
      <c r="G543" s="197"/>
      <c r="I543" s="198"/>
    </row>
    <row r="544" spans="5:9" ht="15" customHeight="1">
      <c r="E544" s="197"/>
      <c r="F544" s="197"/>
      <c r="G544" s="197"/>
      <c r="I544" s="198"/>
    </row>
    <row r="545" spans="5:9" ht="15" customHeight="1">
      <c r="E545" s="197"/>
      <c r="F545" s="197"/>
      <c r="G545" s="197"/>
      <c r="I545" s="198"/>
    </row>
    <row r="546" spans="5:9" ht="15" customHeight="1">
      <c r="E546" s="197"/>
      <c r="F546" s="197"/>
      <c r="G546" s="197"/>
      <c r="I546" s="198"/>
    </row>
    <row r="547" spans="5:9" ht="15" customHeight="1">
      <c r="E547" s="197"/>
      <c r="F547" s="197"/>
      <c r="G547" s="197"/>
      <c r="I547" s="198"/>
    </row>
    <row r="548" spans="5:9" ht="15" customHeight="1">
      <c r="E548" s="197"/>
      <c r="F548" s="197"/>
      <c r="G548" s="197"/>
      <c r="I548" s="198"/>
    </row>
    <row r="549" spans="5:9" ht="15" customHeight="1">
      <c r="E549" s="197"/>
      <c r="F549" s="197"/>
      <c r="G549" s="197"/>
      <c r="I549" s="198"/>
    </row>
    <row r="550" spans="5:9" ht="15" customHeight="1">
      <c r="E550" s="197"/>
      <c r="F550" s="197"/>
      <c r="G550" s="197"/>
      <c r="I550" s="198"/>
    </row>
    <row r="551" spans="5:9" ht="15" customHeight="1">
      <c r="E551" s="197"/>
      <c r="F551" s="197"/>
      <c r="G551" s="197"/>
      <c r="I551" s="198"/>
    </row>
    <row r="552" spans="5:9" ht="15" customHeight="1">
      <c r="E552" s="197"/>
      <c r="F552" s="197"/>
      <c r="G552" s="197"/>
      <c r="I552" s="198"/>
    </row>
    <row r="553" spans="5:9" ht="15" customHeight="1">
      <c r="E553" s="197"/>
      <c r="F553" s="197"/>
      <c r="G553" s="197"/>
      <c r="I553" s="198"/>
    </row>
    <row r="554" spans="5:9" ht="15" customHeight="1">
      <c r="E554" s="197"/>
      <c r="F554" s="197"/>
      <c r="G554" s="197"/>
      <c r="I554" s="198"/>
    </row>
    <row r="555" spans="5:9" ht="15" customHeight="1">
      <c r="E555" s="197"/>
      <c r="F555" s="197"/>
      <c r="G555" s="197"/>
      <c r="I555" s="198"/>
    </row>
    <row r="556" spans="5:9" ht="15" customHeight="1">
      <c r="E556" s="197"/>
      <c r="F556" s="197"/>
      <c r="G556" s="197"/>
      <c r="I556" s="198"/>
    </row>
    <row r="557" spans="5:9" ht="15" customHeight="1">
      <c r="E557" s="197"/>
      <c r="F557" s="197"/>
      <c r="G557" s="197"/>
      <c r="I557" s="198"/>
    </row>
    <row r="558" spans="5:9" ht="15" customHeight="1">
      <c r="E558" s="197"/>
      <c r="F558" s="197"/>
      <c r="G558" s="197"/>
      <c r="I558" s="198"/>
    </row>
    <row r="559" spans="5:9" ht="15" customHeight="1">
      <c r="E559" s="197"/>
      <c r="F559" s="197"/>
      <c r="G559" s="197"/>
      <c r="I559" s="198"/>
    </row>
    <row r="560" spans="5:9" ht="15" customHeight="1">
      <c r="E560" s="197"/>
      <c r="F560" s="197"/>
      <c r="G560" s="197"/>
      <c r="I560" s="198"/>
    </row>
    <row r="561" spans="5:9" ht="15" customHeight="1">
      <c r="E561" s="197"/>
      <c r="F561" s="197"/>
      <c r="G561" s="197"/>
      <c r="I561" s="198"/>
    </row>
    <row r="562" spans="5:9" ht="15" customHeight="1">
      <c r="E562" s="197"/>
      <c r="F562" s="197"/>
      <c r="G562" s="197"/>
      <c r="I562" s="198"/>
    </row>
    <row r="563" spans="5:9" ht="15" customHeight="1">
      <c r="E563" s="197"/>
      <c r="F563" s="197"/>
      <c r="G563" s="197"/>
      <c r="I563" s="198"/>
    </row>
    <row r="564" spans="5:9" ht="15" customHeight="1">
      <c r="E564" s="197"/>
      <c r="F564" s="197"/>
      <c r="G564" s="197"/>
      <c r="I564" s="198"/>
    </row>
    <row r="565" spans="5:9" ht="15" customHeight="1">
      <c r="E565" s="197"/>
      <c r="F565" s="197"/>
      <c r="G565" s="197"/>
      <c r="I565" s="198"/>
    </row>
    <row r="566" spans="5:9" ht="15" customHeight="1">
      <c r="E566" s="197"/>
      <c r="F566" s="197"/>
      <c r="G566" s="197"/>
      <c r="I566" s="198"/>
    </row>
    <row r="567" spans="5:9" ht="15" customHeight="1">
      <c r="E567" s="197"/>
      <c r="F567" s="197"/>
      <c r="G567" s="197"/>
      <c r="I567" s="198"/>
    </row>
    <row r="568" spans="5:9" ht="15" customHeight="1">
      <c r="E568" s="197"/>
      <c r="F568" s="197"/>
      <c r="G568" s="197"/>
      <c r="I568" s="198"/>
    </row>
    <row r="569" spans="5:9" ht="15" customHeight="1">
      <c r="E569" s="197"/>
      <c r="F569" s="197"/>
      <c r="G569" s="197"/>
      <c r="I569" s="198"/>
    </row>
    <row r="570" spans="5:9" ht="15" customHeight="1">
      <c r="E570" s="197"/>
      <c r="F570" s="197"/>
      <c r="G570" s="197"/>
      <c r="I570" s="198"/>
    </row>
    <row r="571" spans="5:9" ht="15" customHeight="1">
      <c r="E571" s="197"/>
      <c r="F571" s="197"/>
      <c r="G571" s="197"/>
      <c r="I571" s="198"/>
    </row>
    <row r="572" spans="5:9" ht="15" customHeight="1">
      <c r="E572" s="197"/>
      <c r="F572" s="197"/>
      <c r="G572" s="197"/>
      <c r="I572" s="198"/>
    </row>
    <row r="573" spans="5:9" ht="15" customHeight="1">
      <c r="E573" s="197"/>
      <c r="F573" s="197"/>
      <c r="G573" s="197"/>
      <c r="I573" s="198"/>
    </row>
    <row r="574" spans="5:9" ht="15" customHeight="1">
      <c r="E574" s="197"/>
      <c r="F574" s="197"/>
      <c r="G574" s="197"/>
      <c r="I574" s="198"/>
    </row>
    <row r="575" spans="5:9" ht="15" customHeight="1">
      <c r="E575" s="197"/>
      <c r="F575" s="197"/>
      <c r="G575" s="197"/>
      <c r="I575" s="198"/>
    </row>
    <row r="576" spans="5:9" ht="15" customHeight="1">
      <c r="E576" s="197"/>
      <c r="F576" s="197"/>
      <c r="G576" s="197"/>
      <c r="I576" s="198"/>
    </row>
    <row r="577" spans="5:9" ht="15" customHeight="1">
      <c r="E577" s="197"/>
      <c r="F577" s="197"/>
      <c r="G577" s="197"/>
      <c r="I577" s="198"/>
    </row>
    <row r="578" spans="5:9" ht="15" customHeight="1">
      <c r="E578" s="197"/>
      <c r="F578" s="197"/>
      <c r="G578" s="197"/>
      <c r="I578" s="198"/>
    </row>
    <row r="579" spans="5:9" ht="15" customHeight="1">
      <c r="E579" s="197"/>
      <c r="F579" s="197"/>
      <c r="G579" s="197"/>
      <c r="I579" s="198"/>
    </row>
    <row r="580" spans="5:9" ht="15" customHeight="1">
      <c r="E580" s="197"/>
      <c r="F580" s="197"/>
      <c r="G580" s="197"/>
      <c r="I580" s="198"/>
    </row>
    <row r="581" spans="5:9" ht="15" customHeight="1">
      <c r="E581" s="197"/>
      <c r="F581" s="197"/>
      <c r="G581" s="197"/>
      <c r="I581" s="198"/>
    </row>
    <row r="582" spans="5:9" ht="15" customHeight="1">
      <c r="E582" s="197"/>
      <c r="F582" s="197"/>
      <c r="G582" s="197"/>
      <c r="I582" s="198"/>
    </row>
    <row r="583" spans="5:9" ht="15" customHeight="1">
      <c r="E583" s="197"/>
      <c r="F583" s="197"/>
      <c r="G583" s="197"/>
      <c r="I583" s="198"/>
    </row>
    <row r="584" spans="5:9" ht="15" customHeight="1">
      <c r="E584" s="197"/>
      <c r="F584" s="197"/>
      <c r="G584" s="197"/>
      <c r="I584" s="198"/>
    </row>
    <row r="585" spans="5:9" ht="15" customHeight="1">
      <c r="E585" s="197"/>
      <c r="F585" s="197"/>
      <c r="G585" s="197"/>
      <c r="I585" s="198"/>
    </row>
    <row r="586" spans="5:9" ht="15" customHeight="1">
      <c r="E586" s="197"/>
      <c r="F586" s="197"/>
      <c r="G586" s="197"/>
      <c r="I586" s="198"/>
    </row>
    <row r="587" spans="5:9" ht="15" customHeight="1">
      <c r="E587" s="197"/>
      <c r="F587" s="197"/>
      <c r="G587" s="197"/>
      <c r="I587" s="198"/>
    </row>
    <row r="588" spans="5:9" ht="15" customHeight="1">
      <c r="E588" s="197"/>
      <c r="F588" s="197"/>
      <c r="G588" s="197"/>
      <c r="I588" s="198"/>
    </row>
    <row r="589" spans="5:9" ht="15" customHeight="1">
      <c r="E589" s="197"/>
      <c r="F589" s="197"/>
      <c r="G589" s="197"/>
      <c r="I589" s="198"/>
    </row>
    <row r="590" spans="5:9" ht="15" customHeight="1">
      <c r="E590" s="197"/>
      <c r="F590" s="197"/>
      <c r="G590" s="197"/>
      <c r="I590" s="198"/>
    </row>
    <row r="591" spans="5:9" ht="15" customHeight="1">
      <c r="E591" s="197"/>
      <c r="F591" s="197"/>
      <c r="G591" s="197"/>
      <c r="I591" s="198"/>
    </row>
    <row r="592" spans="5:9" ht="15" customHeight="1">
      <c r="E592" s="197"/>
      <c r="F592" s="197"/>
      <c r="G592" s="197"/>
      <c r="I592" s="198"/>
    </row>
    <row r="593" spans="5:9" ht="15" customHeight="1">
      <c r="E593" s="197"/>
      <c r="F593" s="197"/>
      <c r="G593" s="197"/>
      <c r="I593" s="198"/>
    </row>
    <row r="594" spans="5:9" ht="15" customHeight="1">
      <c r="E594" s="197"/>
      <c r="F594" s="197"/>
      <c r="G594" s="197"/>
      <c r="I594" s="198"/>
    </row>
    <row r="595" spans="5:9" ht="15" customHeight="1">
      <c r="E595" s="197"/>
      <c r="F595" s="197"/>
      <c r="G595" s="197"/>
      <c r="I595" s="198"/>
    </row>
    <row r="596" spans="5:9" ht="15" customHeight="1">
      <c r="E596" s="197"/>
      <c r="F596" s="197"/>
      <c r="G596" s="197"/>
      <c r="I596" s="198"/>
    </row>
    <row r="597" spans="5:9" ht="15" customHeight="1">
      <c r="E597" s="197"/>
      <c r="F597" s="197"/>
      <c r="G597" s="197"/>
      <c r="I597" s="198"/>
    </row>
    <row r="598" spans="5:9" ht="15" customHeight="1">
      <c r="E598" s="197"/>
      <c r="F598" s="197"/>
      <c r="G598" s="197"/>
      <c r="I598" s="198"/>
    </row>
    <row r="599" spans="5:9" ht="15" customHeight="1">
      <c r="E599" s="197"/>
      <c r="F599" s="197"/>
      <c r="G599" s="197"/>
      <c r="I599" s="198"/>
    </row>
    <row r="600" spans="5:9" ht="15" customHeight="1">
      <c r="E600" s="197"/>
      <c r="F600" s="197"/>
      <c r="G600" s="197"/>
      <c r="I600" s="198"/>
    </row>
    <row r="601" spans="5:9" ht="15" customHeight="1">
      <c r="E601" s="197"/>
      <c r="F601" s="197"/>
      <c r="G601" s="197"/>
      <c r="I601" s="198"/>
    </row>
    <row r="602" spans="5:9" ht="15" customHeight="1">
      <c r="E602" s="197"/>
      <c r="F602" s="197"/>
      <c r="G602" s="197"/>
      <c r="I602" s="198"/>
    </row>
    <row r="603" spans="5:9" ht="15" customHeight="1">
      <c r="E603" s="197"/>
      <c r="F603" s="197"/>
      <c r="G603" s="197"/>
      <c r="I603" s="198"/>
    </row>
    <row r="604" spans="5:9" ht="15" customHeight="1">
      <c r="E604" s="197"/>
      <c r="F604" s="197"/>
      <c r="G604" s="197"/>
      <c r="I604" s="198"/>
    </row>
    <row r="605" spans="5:9" ht="15" customHeight="1">
      <c r="E605" s="197"/>
      <c r="F605" s="197"/>
      <c r="G605" s="197"/>
      <c r="I605" s="198"/>
    </row>
    <row r="606" spans="5:9" ht="15" customHeight="1">
      <c r="E606" s="197"/>
      <c r="F606" s="197"/>
      <c r="G606" s="197"/>
      <c r="I606" s="198"/>
    </row>
    <row r="607" spans="5:9" ht="15" customHeight="1">
      <c r="E607" s="197"/>
      <c r="F607" s="197"/>
      <c r="G607" s="197"/>
      <c r="I607" s="198"/>
    </row>
    <row r="608" spans="5:9" ht="15" customHeight="1">
      <c r="E608" s="197"/>
      <c r="F608" s="197"/>
      <c r="G608" s="197"/>
      <c r="I608" s="198"/>
    </row>
    <row r="609" spans="5:9" ht="15" customHeight="1">
      <c r="E609" s="197"/>
      <c r="F609" s="197"/>
      <c r="G609" s="197"/>
      <c r="I609" s="198"/>
    </row>
    <row r="610" spans="5:9" ht="15" customHeight="1">
      <c r="E610" s="197"/>
      <c r="F610" s="197"/>
      <c r="G610" s="197"/>
      <c r="I610" s="198"/>
    </row>
    <row r="611" spans="5:9" ht="15" customHeight="1">
      <c r="E611" s="197"/>
      <c r="F611" s="197"/>
      <c r="G611" s="197"/>
      <c r="I611" s="198"/>
    </row>
    <row r="612" spans="5:9" ht="15" customHeight="1">
      <c r="E612" s="197"/>
      <c r="F612" s="197"/>
      <c r="G612" s="197"/>
      <c r="I612" s="198"/>
    </row>
    <row r="613" spans="5:9" ht="15" customHeight="1">
      <c r="E613" s="197"/>
      <c r="F613" s="197"/>
      <c r="G613" s="197"/>
      <c r="I613" s="198"/>
    </row>
    <row r="614" spans="5:9" ht="15" customHeight="1">
      <c r="E614" s="197"/>
      <c r="F614" s="197"/>
      <c r="G614" s="197"/>
      <c r="I614" s="198"/>
    </row>
    <row r="615" spans="5:9" ht="15" customHeight="1">
      <c r="E615" s="197"/>
      <c r="F615" s="197"/>
      <c r="G615" s="197"/>
      <c r="I615" s="198"/>
    </row>
    <row r="616" spans="5:9" ht="15" customHeight="1">
      <c r="E616" s="197"/>
      <c r="F616" s="197"/>
      <c r="G616" s="197"/>
      <c r="I616" s="198"/>
    </row>
    <row r="617" spans="5:9" ht="15" customHeight="1">
      <c r="E617" s="197"/>
      <c r="F617" s="197"/>
      <c r="G617" s="197"/>
      <c r="I617" s="198"/>
    </row>
    <row r="618" spans="5:9" ht="15" customHeight="1">
      <c r="E618" s="197"/>
      <c r="F618" s="197"/>
      <c r="G618" s="197"/>
      <c r="I618" s="198"/>
    </row>
    <row r="619" spans="5:9" ht="15" customHeight="1">
      <c r="E619" s="197"/>
      <c r="F619" s="197"/>
      <c r="G619" s="197"/>
      <c r="I619" s="198"/>
    </row>
    <row r="620" spans="5:9" ht="15" customHeight="1">
      <c r="E620" s="197"/>
      <c r="F620" s="197"/>
      <c r="G620" s="197"/>
      <c r="I620" s="198"/>
    </row>
    <row r="621" spans="5:9" ht="15" customHeight="1">
      <c r="E621" s="197"/>
      <c r="F621" s="197"/>
      <c r="G621" s="197"/>
      <c r="I621" s="198"/>
    </row>
    <row r="622" spans="5:9" ht="15" customHeight="1">
      <c r="E622" s="197"/>
      <c r="F622" s="197"/>
      <c r="G622" s="197"/>
      <c r="I622" s="198"/>
    </row>
    <row r="623" spans="5:9" ht="15" customHeight="1">
      <c r="E623" s="197"/>
      <c r="F623" s="197"/>
      <c r="G623" s="197"/>
      <c r="I623" s="198"/>
    </row>
    <row r="624" spans="5:9" ht="15" customHeight="1">
      <c r="E624" s="197"/>
      <c r="F624" s="197"/>
      <c r="G624" s="197"/>
      <c r="I624" s="198"/>
    </row>
    <row r="625" spans="5:9" ht="15" customHeight="1">
      <c r="E625" s="197"/>
      <c r="F625" s="197"/>
      <c r="G625" s="197"/>
      <c r="I625" s="198"/>
    </row>
    <row r="626" spans="5:9" ht="15" customHeight="1">
      <c r="E626" s="197"/>
      <c r="F626" s="197"/>
      <c r="G626" s="197"/>
      <c r="I626" s="198"/>
    </row>
    <row r="627" spans="5:9" ht="15" customHeight="1">
      <c r="E627" s="197"/>
      <c r="F627" s="197"/>
      <c r="G627" s="197"/>
      <c r="I627" s="198"/>
    </row>
    <row r="628" spans="5:9" ht="15" customHeight="1">
      <c r="E628" s="197"/>
      <c r="F628" s="197"/>
      <c r="G628" s="197"/>
      <c r="I628" s="198"/>
    </row>
    <row r="629" spans="5:9" ht="15" customHeight="1">
      <c r="E629" s="197"/>
      <c r="F629" s="197"/>
      <c r="G629" s="197"/>
      <c r="I629" s="198"/>
    </row>
    <row r="630" spans="5:9" ht="15" customHeight="1">
      <c r="E630" s="197"/>
      <c r="F630" s="197"/>
      <c r="G630" s="197"/>
      <c r="I630" s="198"/>
    </row>
    <row r="631" spans="5:9" ht="15" customHeight="1">
      <c r="E631" s="197"/>
      <c r="F631" s="197"/>
      <c r="G631" s="197"/>
      <c r="I631" s="198"/>
    </row>
    <row r="632" spans="5:9" ht="15" customHeight="1">
      <c r="E632" s="197"/>
      <c r="F632" s="197"/>
      <c r="G632" s="197"/>
      <c r="I632" s="198"/>
    </row>
    <row r="633" spans="5:9" ht="15" customHeight="1">
      <c r="E633" s="197"/>
      <c r="F633" s="197"/>
      <c r="G633" s="197"/>
      <c r="I633" s="198"/>
    </row>
    <row r="634" spans="5:9" ht="15" customHeight="1">
      <c r="E634" s="197"/>
      <c r="F634" s="197"/>
      <c r="G634" s="197"/>
      <c r="I634" s="198"/>
    </row>
    <row r="635" spans="5:9" ht="15" customHeight="1">
      <c r="E635" s="197"/>
      <c r="F635" s="197"/>
      <c r="G635" s="197"/>
      <c r="I635" s="198"/>
    </row>
    <row r="636" spans="5:9" ht="15" customHeight="1">
      <c r="E636" s="197"/>
      <c r="F636" s="197"/>
      <c r="G636" s="197"/>
      <c r="I636" s="198"/>
    </row>
    <row r="637" spans="5:9" ht="15" customHeight="1">
      <c r="E637" s="197"/>
      <c r="F637" s="197"/>
      <c r="G637" s="197"/>
      <c r="I637" s="198"/>
    </row>
    <row r="638" spans="5:9" ht="15" customHeight="1">
      <c r="E638" s="197"/>
      <c r="F638" s="197"/>
      <c r="G638" s="197"/>
      <c r="I638" s="198"/>
    </row>
    <row r="639" spans="5:9" ht="15" customHeight="1">
      <c r="E639" s="197"/>
      <c r="F639" s="197"/>
      <c r="G639" s="197"/>
      <c r="I639" s="198"/>
    </row>
    <row r="640" spans="5:9" ht="15" customHeight="1">
      <c r="E640" s="197"/>
      <c r="F640" s="197"/>
      <c r="G640" s="197"/>
      <c r="I640" s="198"/>
    </row>
    <row r="641" spans="5:9" ht="15" customHeight="1">
      <c r="E641" s="197"/>
      <c r="F641" s="197"/>
      <c r="G641" s="197"/>
      <c r="I641" s="198"/>
    </row>
    <row r="642" spans="5:9" ht="15" customHeight="1">
      <c r="E642" s="197"/>
      <c r="F642" s="197"/>
      <c r="G642" s="197"/>
      <c r="I642" s="198"/>
    </row>
    <row r="643" spans="5:9" ht="15" customHeight="1">
      <c r="E643" s="197"/>
      <c r="F643" s="197"/>
      <c r="G643" s="197"/>
      <c r="I643" s="198"/>
    </row>
    <row r="644" spans="5:9" ht="15" customHeight="1">
      <c r="E644" s="197"/>
      <c r="F644" s="197"/>
      <c r="G644" s="197"/>
      <c r="I644" s="198"/>
    </row>
    <row r="645" spans="5:9" ht="15" customHeight="1">
      <c r="E645" s="197"/>
      <c r="F645" s="197"/>
      <c r="G645" s="197"/>
      <c r="I645" s="198"/>
    </row>
    <row r="646" spans="5:9" ht="15" customHeight="1">
      <c r="E646" s="197"/>
      <c r="F646" s="197"/>
      <c r="G646" s="197"/>
      <c r="I646" s="198"/>
    </row>
    <row r="647" spans="5:9" ht="15" customHeight="1">
      <c r="E647" s="197"/>
      <c r="F647" s="197"/>
      <c r="G647" s="197"/>
      <c r="I647" s="198"/>
    </row>
    <row r="648" spans="5:9" ht="15" customHeight="1">
      <c r="E648" s="197"/>
      <c r="F648" s="197"/>
      <c r="G648" s="197"/>
      <c r="I648" s="198"/>
    </row>
    <row r="649" spans="5:9" ht="15" customHeight="1">
      <c r="E649" s="197"/>
      <c r="F649" s="197"/>
      <c r="G649" s="197"/>
      <c r="I649" s="198"/>
    </row>
    <row r="650" spans="5:9" ht="15" customHeight="1">
      <c r="E650" s="197"/>
      <c r="F650" s="197"/>
      <c r="G650" s="197"/>
      <c r="I650" s="198"/>
    </row>
    <row r="651" spans="5:9" ht="15" customHeight="1">
      <c r="E651" s="197"/>
      <c r="F651" s="197"/>
      <c r="G651" s="197"/>
      <c r="I651" s="198"/>
    </row>
    <row r="652" spans="5:9" ht="15" customHeight="1">
      <c r="E652" s="197"/>
      <c r="F652" s="197"/>
      <c r="G652" s="197"/>
      <c r="I652" s="198"/>
    </row>
    <row r="653" spans="5:9" ht="15" customHeight="1">
      <c r="E653" s="197"/>
      <c r="F653" s="197"/>
      <c r="G653" s="197"/>
      <c r="I653" s="198"/>
    </row>
    <row r="654" spans="5:9" ht="15" customHeight="1">
      <c r="E654" s="197"/>
      <c r="F654" s="197"/>
      <c r="G654" s="197"/>
      <c r="I654" s="198"/>
    </row>
    <row r="655" spans="5:9" ht="15" customHeight="1">
      <c r="E655" s="197"/>
      <c r="F655" s="197"/>
      <c r="G655" s="197"/>
      <c r="I655" s="198"/>
    </row>
    <row r="656" spans="5:9" ht="15" customHeight="1">
      <c r="E656" s="197"/>
      <c r="F656" s="197"/>
      <c r="G656" s="197"/>
      <c r="I656" s="198"/>
    </row>
    <row r="657" spans="5:9" ht="15" customHeight="1">
      <c r="E657" s="197"/>
      <c r="F657" s="197"/>
      <c r="G657" s="197"/>
      <c r="I657" s="198"/>
    </row>
    <row r="658" spans="5:9" ht="15" customHeight="1">
      <c r="E658" s="197"/>
      <c r="F658" s="197"/>
      <c r="G658" s="197"/>
      <c r="I658" s="198"/>
    </row>
    <row r="659" spans="5:9" ht="15" customHeight="1">
      <c r="E659" s="197"/>
      <c r="F659" s="197"/>
      <c r="G659" s="197"/>
      <c r="I659" s="198"/>
    </row>
    <row r="660" spans="5:9" ht="15" customHeight="1">
      <c r="E660" s="197"/>
      <c r="F660" s="197"/>
      <c r="G660" s="197"/>
      <c r="I660" s="198"/>
    </row>
    <row r="661" spans="5:9" ht="15" customHeight="1">
      <c r="E661" s="197"/>
      <c r="F661" s="197"/>
      <c r="G661" s="197"/>
      <c r="I661" s="198"/>
    </row>
    <row r="662" spans="5:9" ht="15" customHeight="1">
      <c r="E662" s="197"/>
      <c r="F662" s="197"/>
      <c r="G662" s="197"/>
      <c r="I662" s="198"/>
    </row>
    <row r="663" spans="5:9" ht="15" customHeight="1">
      <c r="E663" s="197"/>
      <c r="F663" s="197"/>
      <c r="G663" s="197"/>
      <c r="I663" s="198"/>
    </row>
    <row r="664" spans="5:9" ht="15" customHeight="1">
      <c r="E664" s="197"/>
      <c r="F664" s="197"/>
      <c r="G664" s="197"/>
      <c r="I664" s="198"/>
    </row>
    <row r="665" spans="5:9" ht="15" customHeight="1">
      <c r="E665" s="197"/>
      <c r="F665" s="197"/>
      <c r="G665" s="197"/>
      <c r="I665" s="198"/>
    </row>
    <row r="666" spans="5:9" ht="15" customHeight="1">
      <c r="E666" s="197"/>
      <c r="F666" s="197"/>
      <c r="G666" s="197"/>
      <c r="I666" s="198"/>
    </row>
    <row r="667" spans="5:9" ht="15" customHeight="1">
      <c r="E667" s="197"/>
      <c r="F667" s="197"/>
      <c r="G667" s="197"/>
      <c r="I667" s="198"/>
    </row>
    <row r="668" spans="5:9" ht="15" customHeight="1">
      <c r="E668" s="197"/>
      <c r="F668" s="197"/>
      <c r="G668" s="197"/>
      <c r="I668" s="198"/>
    </row>
    <row r="669" spans="5:9" ht="15" customHeight="1">
      <c r="E669" s="197"/>
      <c r="F669" s="197"/>
      <c r="G669" s="197"/>
      <c r="I669" s="198"/>
    </row>
    <row r="670" spans="5:9" ht="15" customHeight="1">
      <c r="E670" s="197"/>
      <c r="F670" s="197"/>
      <c r="G670" s="197"/>
      <c r="I670" s="198"/>
    </row>
    <row r="671" spans="5:9" ht="15" customHeight="1">
      <c r="E671" s="197"/>
      <c r="F671" s="197"/>
      <c r="G671" s="197"/>
      <c r="I671" s="198"/>
    </row>
    <row r="672" spans="5:9" ht="15" customHeight="1">
      <c r="E672" s="197"/>
      <c r="F672" s="197"/>
      <c r="G672" s="197"/>
      <c r="I672" s="198"/>
    </row>
    <row r="673" spans="5:9" ht="15" customHeight="1">
      <c r="E673" s="197"/>
      <c r="F673" s="197"/>
      <c r="G673" s="197"/>
      <c r="I673" s="198"/>
    </row>
    <row r="674" spans="5:9" ht="15" customHeight="1">
      <c r="E674" s="197"/>
      <c r="F674" s="197"/>
      <c r="G674" s="197"/>
      <c r="I674" s="198"/>
    </row>
    <row r="675" spans="5:9" ht="15" customHeight="1">
      <c r="E675" s="197"/>
      <c r="F675" s="197"/>
      <c r="G675" s="197"/>
      <c r="I675" s="198"/>
    </row>
    <row r="676" spans="5:9" ht="15" customHeight="1">
      <c r="E676" s="197"/>
      <c r="F676" s="197"/>
      <c r="G676" s="197"/>
      <c r="I676" s="198"/>
    </row>
    <row r="677" spans="5:9" ht="15" customHeight="1">
      <c r="E677" s="197"/>
      <c r="F677" s="197"/>
      <c r="G677" s="197"/>
      <c r="I677" s="198"/>
    </row>
    <row r="678" spans="5:9" ht="15" customHeight="1">
      <c r="E678" s="197"/>
      <c r="F678" s="197"/>
      <c r="G678" s="197"/>
      <c r="I678" s="198"/>
    </row>
    <row r="679" spans="5:9" ht="15" customHeight="1">
      <c r="E679" s="197"/>
      <c r="F679" s="197"/>
      <c r="G679" s="197"/>
      <c r="I679" s="198"/>
    </row>
    <row r="680" spans="5:9" ht="15" customHeight="1">
      <c r="E680" s="197"/>
      <c r="F680" s="197"/>
      <c r="G680" s="197"/>
      <c r="I680" s="198"/>
    </row>
    <row r="681" spans="5:9" ht="15" customHeight="1">
      <c r="E681" s="197"/>
      <c r="F681" s="197"/>
      <c r="G681" s="197"/>
      <c r="I681" s="198"/>
    </row>
    <row r="682" spans="5:9" ht="15" customHeight="1">
      <c r="E682" s="197"/>
      <c r="F682" s="197"/>
      <c r="G682" s="197"/>
      <c r="I682" s="198"/>
    </row>
    <row r="683" spans="5:9" ht="15" customHeight="1">
      <c r="E683" s="197"/>
      <c r="F683" s="197"/>
      <c r="G683" s="197"/>
      <c r="I683" s="198"/>
    </row>
    <row r="684" spans="5:9" ht="15" customHeight="1">
      <c r="E684" s="197"/>
      <c r="F684" s="197"/>
      <c r="G684" s="197"/>
      <c r="I684" s="198"/>
    </row>
    <row r="685" spans="5:9" ht="15" customHeight="1">
      <c r="E685" s="197"/>
      <c r="F685" s="197"/>
      <c r="G685" s="197"/>
      <c r="I685" s="198"/>
    </row>
    <row r="686" spans="5:9" ht="15" customHeight="1">
      <c r="E686" s="197"/>
      <c r="F686" s="197"/>
      <c r="G686" s="197"/>
      <c r="I686" s="198"/>
    </row>
    <row r="687" spans="5:9" ht="15" customHeight="1">
      <c r="E687" s="197"/>
      <c r="F687" s="197"/>
      <c r="G687" s="197"/>
      <c r="I687" s="198"/>
    </row>
    <row r="688" spans="5:9" ht="15" customHeight="1">
      <c r="E688" s="197"/>
      <c r="F688" s="197"/>
      <c r="G688" s="197"/>
      <c r="I688" s="198"/>
    </row>
    <row r="689" spans="5:9" ht="15" customHeight="1">
      <c r="E689" s="197"/>
      <c r="F689" s="197"/>
      <c r="G689" s="197"/>
      <c r="I689" s="198"/>
    </row>
    <row r="690" spans="5:9" ht="15" customHeight="1">
      <c r="E690" s="197"/>
      <c r="F690" s="197"/>
      <c r="G690" s="197"/>
      <c r="I690" s="198"/>
    </row>
    <row r="691" spans="5:9" ht="15" customHeight="1">
      <c r="E691" s="197"/>
      <c r="F691" s="197"/>
      <c r="G691" s="197"/>
      <c r="I691" s="198"/>
    </row>
    <row r="692" spans="5:9" ht="15" customHeight="1">
      <c r="E692" s="197"/>
      <c r="F692" s="197"/>
      <c r="G692" s="197"/>
      <c r="I692" s="198"/>
    </row>
    <row r="693" spans="5:9" ht="15" customHeight="1">
      <c r="E693" s="197"/>
      <c r="F693" s="197"/>
      <c r="G693" s="197"/>
      <c r="I693" s="198"/>
    </row>
  </sheetData>
  <sheetProtection sheet="1" objects="1" scenarios="1"/>
  <mergeCells count="20">
    <mergeCell ref="C21:E21"/>
    <mergeCell ref="B1:H1"/>
    <mergeCell ref="C2:H2"/>
    <mergeCell ref="C6:D6"/>
    <mergeCell ref="C8:D8"/>
    <mergeCell ref="E8:F8"/>
    <mergeCell ref="E6:F6"/>
    <mergeCell ref="E10:H10"/>
    <mergeCell ref="C13:E13"/>
    <mergeCell ref="C15:E15"/>
    <mergeCell ref="C17:E17"/>
    <mergeCell ref="C19:E19"/>
    <mergeCell ref="E11:G11"/>
    <mergeCell ref="C23:E23"/>
    <mergeCell ref="C27:E27"/>
    <mergeCell ref="B38:H43"/>
    <mergeCell ref="B27:B29"/>
    <mergeCell ref="D46:E46"/>
    <mergeCell ref="D31:E31"/>
    <mergeCell ref="C25:E25"/>
  </mergeCells>
  <phoneticPr fontId="98" type="noConversion"/>
  <pageMargins left="0" right="0" top="0" bottom="0"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2"/>
  <sheetViews>
    <sheetView zoomScaleNormal="100" workbookViewId="0">
      <selection activeCell="AI44" sqref="AI44"/>
    </sheetView>
  </sheetViews>
  <sheetFormatPr defaultColWidth="9.140625" defaultRowHeight="12.75"/>
  <cols>
    <col min="1" max="1" width="1.5703125" style="621" customWidth="1"/>
    <col min="2" max="2" width="0.7109375" style="621" customWidth="1"/>
    <col min="3" max="3" width="9.140625" style="621"/>
    <col min="4" max="4" width="5.28515625" style="621" customWidth="1"/>
    <col min="5" max="8" width="8.140625" style="621" customWidth="1"/>
    <col min="9" max="10" width="9.140625" style="621"/>
    <col min="11" max="11" width="4.5703125" style="621" customWidth="1"/>
    <col min="12" max="21" width="9.140625" style="621" hidden="1" customWidth="1"/>
    <col min="22" max="22" width="0.7109375" style="621" customWidth="1"/>
    <col min="23" max="23" width="20" style="621" customWidth="1"/>
    <col min="24" max="24" width="8.28515625" style="621" customWidth="1"/>
    <col min="25" max="25" width="10.7109375" style="621" hidden="1" customWidth="1"/>
    <col min="26" max="26" width="0.140625" style="621" customWidth="1"/>
    <col min="27" max="27" width="1.5703125" style="621" customWidth="1"/>
    <col min="28" max="16384" width="9.140625" style="621"/>
  </cols>
  <sheetData>
    <row r="1" spans="1:60" s="671" customFormat="1" ht="20.25">
      <c r="A1" s="672" t="s">
        <v>569</v>
      </c>
    </row>
    <row r="2" spans="1:60" s="671" customFormat="1"/>
    <row r="3" spans="1:60" s="628" customFormat="1" ht="15.75">
      <c r="B3" s="673" t="s">
        <v>416</v>
      </c>
      <c r="AB3" s="652"/>
      <c r="AC3" s="652"/>
      <c r="AD3" s="652"/>
      <c r="AE3" s="652"/>
      <c r="AF3" s="652"/>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row>
    <row r="4" spans="1:60" s="628" customFormat="1">
      <c r="AB4" s="652"/>
      <c r="AC4" s="652"/>
      <c r="AD4" s="652"/>
      <c r="AE4" s="652"/>
      <c r="AF4" s="652"/>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row>
    <row r="5" spans="1:60" s="628" customFormat="1">
      <c r="B5" s="628" t="s">
        <v>2</v>
      </c>
      <c r="C5" s="634" t="s">
        <v>417</v>
      </c>
      <c r="I5" s="634" t="s">
        <v>418</v>
      </c>
      <c r="W5" s="634" t="s">
        <v>419</v>
      </c>
      <c r="AB5" s="652"/>
      <c r="AC5" s="652"/>
      <c r="AD5" s="652"/>
      <c r="AE5" s="652"/>
      <c r="AF5" s="652"/>
      <c r="AG5" s="639"/>
      <c r="AH5" s="639"/>
      <c r="AI5" s="639"/>
      <c r="AJ5" s="639"/>
      <c r="AK5" s="639"/>
      <c r="AL5" s="639"/>
      <c r="AM5" s="639"/>
      <c r="AN5" s="639"/>
      <c r="AO5" s="639"/>
      <c r="AP5" s="639"/>
      <c r="AQ5" s="639"/>
      <c r="AR5" s="639"/>
      <c r="AS5" s="639"/>
      <c r="AT5" s="639"/>
      <c r="AU5" s="639"/>
      <c r="AV5" s="639"/>
      <c r="AW5" s="639"/>
      <c r="AX5" s="639"/>
      <c r="AY5" s="639"/>
      <c r="AZ5" s="639"/>
      <c r="BA5" s="639"/>
      <c r="BB5" s="639"/>
      <c r="BC5" s="639"/>
      <c r="BD5" s="639"/>
      <c r="BE5" s="639"/>
      <c r="BF5" s="639"/>
      <c r="BG5" s="639"/>
      <c r="BH5" s="639"/>
    </row>
    <row r="6" spans="1:60" s="628" customFormat="1" ht="17.25" customHeight="1">
      <c r="B6" s="637" t="s">
        <v>2</v>
      </c>
      <c r="C6" s="649" t="s">
        <v>2</v>
      </c>
      <c r="D6" s="823" t="s">
        <v>2</v>
      </c>
      <c r="E6" s="824"/>
      <c r="F6" s="824"/>
      <c r="G6" s="824"/>
      <c r="H6" s="824"/>
      <c r="I6" s="824"/>
      <c r="J6" s="824"/>
      <c r="K6" s="824"/>
      <c r="L6" s="824"/>
      <c r="M6" s="824"/>
      <c r="N6" s="824"/>
      <c r="O6" s="824"/>
      <c r="P6" s="824"/>
      <c r="Q6" s="824"/>
      <c r="R6" s="824"/>
      <c r="S6" s="824"/>
      <c r="T6" s="824"/>
      <c r="U6" s="825"/>
      <c r="V6" s="641"/>
      <c r="W6" s="1189"/>
      <c r="X6" s="1190"/>
      <c r="Y6" s="1191"/>
      <c r="AB6" s="652"/>
      <c r="AC6" s="652"/>
      <c r="AD6" s="652"/>
      <c r="AE6" s="652"/>
      <c r="AF6" s="652"/>
      <c r="AG6" s="639"/>
      <c r="AH6" s="639"/>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row>
    <row r="7" spans="1:60" s="628" customFormat="1" ht="17.25" customHeight="1">
      <c r="B7" s="637" t="s">
        <v>2</v>
      </c>
      <c r="C7" s="649" t="s">
        <v>2</v>
      </c>
      <c r="D7" s="823" t="s">
        <v>2</v>
      </c>
      <c r="E7" s="824"/>
      <c r="F7" s="824"/>
      <c r="G7" s="824"/>
      <c r="H7" s="824"/>
      <c r="I7" s="824"/>
      <c r="J7" s="824"/>
      <c r="K7" s="824"/>
      <c r="L7" s="824"/>
      <c r="M7" s="824"/>
      <c r="N7" s="824"/>
      <c r="O7" s="824"/>
      <c r="P7" s="824"/>
      <c r="Q7" s="824"/>
      <c r="R7" s="824"/>
      <c r="S7" s="824"/>
      <c r="T7" s="824"/>
      <c r="U7" s="825"/>
      <c r="V7" s="641"/>
      <c r="W7" s="1189"/>
      <c r="X7" s="1190"/>
      <c r="Y7" s="1191"/>
      <c r="AB7" s="652"/>
      <c r="AC7" s="652"/>
      <c r="AD7" s="652"/>
      <c r="AE7" s="652"/>
      <c r="AF7" s="652"/>
      <c r="AG7" s="639"/>
      <c r="AH7" s="639"/>
      <c r="AI7" s="639"/>
      <c r="AJ7" s="639"/>
      <c r="AK7" s="639"/>
      <c r="AL7" s="639"/>
      <c r="AM7" s="639"/>
      <c r="AN7" s="639"/>
      <c r="AO7" s="639"/>
      <c r="AP7" s="639"/>
      <c r="AQ7" s="639"/>
      <c r="AR7" s="639"/>
      <c r="AS7" s="639"/>
      <c r="AT7" s="639"/>
      <c r="AU7" s="639"/>
      <c r="AV7" s="639"/>
      <c r="AW7" s="639"/>
      <c r="AX7" s="639"/>
      <c r="AY7" s="639"/>
      <c r="AZ7" s="639"/>
      <c r="BA7" s="639"/>
      <c r="BB7" s="639"/>
      <c r="BC7" s="639"/>
      <c r="BD7" s="639"/>
      <c r="BE7" s="639"/>
      <c r="BF7" s="639"/>
      <c r="BG7" s="639"/>
      <c r="BH7" s="639"/>
    </row>
    <row r="8" spans="1:60" s="628" customFormat="1" ht="17.25" customHeight="1">
      <c r="B8" s="637" t="s">
        <v>2</v>
      </c>
      <c r="C8" s="649" t="s">
        <v>2</v>
      </c>
      <c r="D8" s="823" t="s">
        <v>2</v>
      </c>
      <c r="E8" s="824"/>
      <c r="F8" s="824"/>
      <c r="G8" s="824"/>
      <c r="H8" s="824"/>
      <c r="I8" s="824"/>
      <c r="J8" s="824"/>
      <c r="K8" s="824"/>
      <c r="L8" s="824"/>
      <c r="M8" s="824"/>
      <c r="N8" s="824"/>
      <c r="O8" s="824"/>
      <c r="P8" s="824"/>
      <c r="Q8" s="824"/>
      <c r="R8" s="824"/>
      <c r="S8" s="824"/>
      <c r="T8" s="824"/>
      <c r="U8" s="825"/>
      <c r="V8" s="641"/>
      <c r="W8" s="1189"/>
      <c r="X8" s="1190"/>
      <c r="Y8" s="1191"/>
      <c r="AB8" s="652"/>
      <c r="AC8" s="652"/>
      <c r="AD8" s="652"/>
      <c r="AE8" s="652"/>
      <c r="AF8" s="652"/>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39"/>
      <c r="BF8" s="639"/>
      <c r="BG8" s="639"/>
      <c r="BH8" s="639"/>
    </row>
    <row r="9" spans="1:60" s="628" customFormat="1" ht="17.25" customHeight="1">
      <c r="B9" s="637" t="s">
        <v>2</v>
      </c>
      <c r="C9" s="649" t="s">
        <v>2</v>
      </c>
      <c r="D9" s="823" t="s">
        <v>2</v>
      </c>
      <c r="E9" s="824"/>
      <c r="F9" s="824"/>
      <c r="G9" s="824"/>
      <c r="H9" s="824"/>
      <c r="I9" s="824"/>
      <c r="J9" s="824"/>
      <c r="K9" s="824"/>
      <c r="L9" s="824"/>
      <c r="M9" s="824"/>
      <c r="N9" s="824"/>
      <c r="O9" s="824"/>
      <c r="P9" s="824"/>
      <c r="Q9" s="824"/>
      <c r="R9" s="824"/>
      <c r="S9" s="824"/>
      <c r="T9" s="824"/>
      <c r="U9" s="825"/>
      <c r="V9" s="641"/>
      <c r="W9" s="1189"/>
      <c r="X9" s="1190"/>
      <c r="Y9" s="1191"/>
      <c r="AB9" s="652"/>
      <c r="AC9" s="652"/>
      <c r="AD9" s="652"/>
      <c r="AE9" s="652"/>
      <c r="AF9" s="652"/>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row>
    <row r="10" spans="1:60" s="628" customFormat="1" ht="17.25" customHeight="1">
      <c r="B10" s="637"/>
      <c r="C10" s="649"/>
      <c r="D10" s="668"/>
      <c r="E10" s="669"/>
      <c r="F10" s="669"/>
      <c r="G10" s="669"/>
      <c r="H10" s="669"/>
      <c r="I10" s="669"/>
      <c r="J10" s="669"/>
      <c r="K10" s="669"/>
      <c r="L10" s="669"/>
      <c r="M10" s="669"/>
      <c r="N10" s="669"/>
      <c r="O10" s="669"/>
      <c r="P10" s="669"/>
      <c r="Q10" s="669"/>
      <c r="R10" s="669"/>
      <c r="S10" s="669"/>
      <c r="T10" s="669"/>
      <c r="U10" s="670"/>
      <c r="V10" s="641"/>
      <c r="W10" s="665"/>
      <c r="X10" s="666"/>
      <c r="Y10" s="667"/>
      <c r="AB10" s="652"/>
      <c r="AC10" s="652"/>
      <c r="AD10" s="652"/>
      <c r="AE10" s="652"/>
      <c r="AF10" s="652"/>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row>
    <row r="11" spans="1:60" s="628" customFormat="1" ht="17.25" customHeight="1">
      <c r="B11" s="637"/>
      <c r="C11" s="649"/>
      <c r="D11" s="668"/>
      <c r="E11" s="669"/>
      <c r="F11" s="669"/>
      <c r="G11" s="669"/>
      <c r="H11" s="669"/>
      <c r="I11" s="669"/>
      <c r="J11" s="669"/>
      <c r="K11" s="669"/>
      <c r="L11" s="669"/>
      <c r="M11" s="669"/>
      <c r="N11" s="669"/>
      <c r="O11" s="669"/>
      <c r="P11" s="669"/>
      <c r="Q11" s="669"/>
      <c r="R11" s="669"/>
      <c r="S11" s="669"/>
      <c r="T11" s="669"/>
      <c r="U11" s="670"/>
      <c r="V11" s="641"/>
      <c r="W11" s="665"/>
      <c r="X11" s="666"/>
      <c r="Y11" s="667"/>
      <c r="AB11" s="652"/>
      <c r="AC11" s="652"/>
      <c r="AD11" s="652"/>
      <c r="AE11" s="652"/>
      <c r="AF11" s="652"/>
      <c r="AG11" s="639"/>
      <c r="AH11" s="639"/>
      <c r="AI11" s="639"/>
      <c r="AJ11" s="639"/>
      <c r="AK11" s="639"/>
      <c r="AL11" s="639"/>
      <c r="AM11" s="639"/>
      <c r="AN11" s="639"/>
      <c r="AO11" s="639"/>
      <c r="AP11" s="639"/>
      <c r="AQ11" s="639"/>
      <c r="AR11" s="639"/>
      <c r="AS11" s="639"/>
      <c r="AT11" s="639"/>
      <c r="AU11" s="639"/>
      <c r="AV11" s="639"/>
      <c r="AW11" s="639"/>
      <c r="AX11" s="639"/>
      <c r="AY11" s="639"/>
      <c r="AZ11" s="639"/>
      <c r="BA11" s="639"/>
      <c r="BB11" s="639"/>
      <c r="BC11" s="639"/>
      <c r="BD11" s="639"/>
      <c r="BE11" s="639"/>
      <c r="BF11" s="639"/>
      <c r="BG11" s="639"/>
      <c r="BH11" s="639"/>
    </row>
    <row r="12" spans="1:60" s="628" customFormat="1" ht="17.25" customHeight="1">
      <c r="B12" s="637"/>
      <c r="C12" s="649"/>
      <c r="D12" s="668"/>
      <c r="E12" s="669"/>
      <c r="F12" s="669"/>
      <c r="G12" s="669"/>
      <c r="H12" s="669"/>
      <c r="I12" s="669"/>
      <c r="J12" s="669"/>
      <c r="K12" s="669"/>
      <c r="L12" s="669"/>
      <c r="M12" s="669"/>
      <c r="N12" s="669"/>
      <c r="O12" s="669"/>
      <c r="P12" s="669"/>
      <c r="Q12" s="669"/>
      <c r="R12" s="669"/>
      <c r="S12" s="669"/>
      <c r="T12" s="669"/>
      <c r="U12" s="670"/>
      <c r="V12" s="641"/>
      <c r="W12" s="665"/>
      <c r="X12" s="666"/>
      <c r="Y12" s="667"/>
      <c r="AB12" s="652"/>
      <c r="AC12" s="652"/>
      <c r="AD12" s="652"/>
      <c r="AE12" s="652"/>
      <c r="AF12" s="652"/>
      <c r="AG12" s="639"/>
      <c r="AH12" s="639"/>
      <c r="AI12" s="639"/>
      <c r="AJ12" s="639"/>
      <c r="AK12" s="639"/>
      <c r="AL12" s="639"/>
      <c r="AM12" s="639"/>
      <c r="AN12" s="639"/>
      <c r="AO12" s="639"/>
      <c r="AP12" s="639"/>
      <c r="AQ12" s="639"/>
      <c r="AR12" s="639"/>
      <c r="AS12" s="639"/>
      <c r="AT12" s="639"/>
      <c r="AU12" s="639"/>
      <c r="AV12" s="639"/>
      <c r="AW12" s="639"/>
      <c r="AX12" s="639"/>
      <c r="AY12" s="639"/>
      <c r="AZ12" s="639"/>
      <c r="BA12" s="639"/>
      <c r="BB12" s="639"/>
      <c r="BC12" s="639"/>
      <c r="BD12" s="639"/>
      <c r="BE12" s="639"/>
      <c r="BF12" s="639"/>
      <c r="BG12" s="639"/>
      <c r="BH12" s="639"/>
    </row>
    <row r="13" spans="1:60" s="628" customFormat="1" ht="17.25" customHeight="1">
      <c r="B13" s="637"/>
      <c r="C13" s="649"/>
      <c r="D13" s="668"/>
      <c r="E13" s="669"/>
      <c r="F13" s="669"/>
      <c r="G13" s="669"/>
      <c r="H13" s="669"/>
      <c r="I13" s="669"/>
      <c r="J13" s="669"/>
      <c r="K13" s="669"/>
      <c r="L13" s="669"/>
      <c r="M13" s="669"/>
      <c r="N13" s="669"/>
      <c r="O13" s="669"/>
      <c r="P13" s="669"/>
      <c r="Q13" s="669"/>
      <c r="R13" s="669"/>
      <c r="S13" s="669"/>
      <c r="T13" s="669"/>
      <c r="U13" s="670"/>
      <c r="V13" s="641"/>
      <c r="W13" s="665"/>
      <c r="X13" s="666"/>
      <c r="Y13" s="667"/>
      <c r="AB13" s="652"/>
      <c r="AC13" s="652"/>
      <c r="AD13" s="652"/>
      <c r="AE13" s="652"/>
      <c r="AF13" s="652"/>
      <c r="AG13" s="639"/>
      <c r="AH13" s="639"/>
      <c r="AI13" s="639"/>
      <c r="AJ13" s="639"/>
      <c r="AK13" s="639"/>
      <c r="AL13" s="639"/>
      <c r="AM13" s="639"/>
      <c r="AN13" s="639"/>
      <c r="AO13" s="639"/>
      <c r="AP13" s="639"/>
      <c r="AQ13" s="639"/>
      <c r="AR13" s="639"/>
      <c r="AS13" s="639"/>
      <c r="AT13" s="639"/>
      <c r="AU13" s="639"/>
      <c r="AV13" s="639"/>
      <c r="AW13" s="639"/>
      <c r="AX13" s="639"/>
      <c r="AY13" s="639"/>
      <c r="AZ13" s="639"/>
      <c r="BA13" s="639"/>
      <c r="BB13" s="639"/>
      <c r="BC13" s="639"/>
      <c r="BD13" s="639"/>
      <c r="BE13" s="639"/>
      <c r="BF13" s="639"/>
      <c r="BG13" s="639"/>
      <c r="BH13" s="639"/>
    </row>
    <row r="14" spans="1:60" s="628" customFormat="1" ht="17.25" customHeight="1">
      <c r="B14" s="637"/>
      <c r="C14" s="649"/>
      <c r="D14" s="668"/>
      <c r="E14" s="669"/>
      <c r="F14" s="669"/>
      <c r="G14" s="669"/>
      <c r="H14" s="669"/>
      <c r="I14" s="669"/>
      <c r="J14" s="669"/>
      <c r="K14" s="669"/>
      <c r="L14" s="669"/>
      <c r="M14" s="669"/>
      <c r="N14" s="669"/>
      <c r="O14" s="669"/>
      <c r="P14" s="669"/>
      <c r="Q14" s="669"/>
      <c r="R14" s="669"/>
      <c r="S14" s="669"/>
      <c r="T14" s="669"/>
      <c r="U14" s="670"/>
      <c r="V14" s="641"/>
      <c r="W14" s="665"/>
      <c r="X14" s="666"/>
      <c r="Y14" s="667"/>
      <c r="AB14" s="652"/>
      <c r="AC14" s="652"/>
      <c r="AD14" s="652"/>
      <c r="AE14" s="652"/>
      <c r="AF14" s="652"/>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row>
    <row r="15" spans="1:60" s="628" customFormat="1" ht="17.25" customHeight="1">
      <c r="B15" s="637"/>
      <c r="C15" s="649"/>
      <c r="D15" s="668"/>
      <c r="E15" s="669"/>
      <c r="F15" s="669"/>
      <c r="G15" s="669"/>
      <c r="H15" s="669"/>
      <c r="I15" s="669"/>
      <c r="J15" s="669"/>
      <c r="K15" s="669"/>
      <c r="L15" s="669"/>
      <c r="M15" s="669"/>
      <c r="N15" s="669"/>
      <c r="O15" s="669"/>
      <c r="P15" s="669"/>
      <c r="Q15" s="669"/>
      <c r="R15" s="669"/>
      <c r="S15" s="669"/>
      <c r="T15" s="669"/>
      <c r="U15" s="670"/>
      <c r="V15" s="641"/>
      <c r="W15" s="665"/>
      <c r="X15" s="666"/>
      <c r="Y15" s="667"/>
      <c r="AB15" s="652"/>
      <c r="AC15" s="652"/>
      <c r="AD15" s="652"/>
      <c r="AE15" s="652"/>
      <c r="AF15" s="652"/>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row>
    <row r="16" spans="1:60" s="628" customFormat="1" ht="17.25" customHeight="1">
      <c r="B16" s="637"/>
      <c r="C16" s="649"/>
      <c r="D16" s="668"/>
      <c r="E16" s="669"/>
      <c r="F16" s="669"/>
      <c r="G16" s="669"/>
      <c r="H16" s="669"/>
      <c r="I16" s="669"/>
      <c r="J16" s="669"/>
      <c r="K16" s="669"/>
      <c r="L16" s="669"/>
      <c r="M16" s="669"/>
      <c r="N16" s="669"/>
      <c r="O16" s="669"/>
      <c r="P16" s="669"/>
      <c r="Q16" s="669"/>
      <c r="R16" s="669"/>
      <c r="S16" s="669"/>
      <c r="T16" s="669"/>
      <c r="U16" s="670"/>
      <c r="V16" s="641"/>
      <c r="W16" s="665"/>
      <c r="X16" s="666"/>
      <c r="Y16" s="667"/>
      <c r="AB16" s="652"/>
      <c r="AC16" s="652"/>
      <c r="AD16" s="652"/>
      <c r="AE16" s="652"/>
      <c r="AF16" s="652"/>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row>
    <row r="17" spans="2:60" s="628" customFormat="1" ht="17.25" customHeight="1">
      <c r="B17" s="637"/>
      <c r="C17" s="649"/>
      <c r="D17" s="668"/>
      <c r="E17" s="669"/>
      <c r="F17" s="669"/>
      <c r="G17" s="669"/>
      <c r="H17" s="669"/>
      <c r="I17" s="669"/>
      <c r="J17" s="669"/>
      <c r="K17" s="669"/>
      <c r="L17" s="669"/>
      <c r="M17" s="669"/>
      <c r="N17" s="669"/>
      <c r="O17" s="669"/>
      <c r="P17" s="669"/>
      <c r="Q17" s="669"/>
      <c r="R17" s="669"/>
      <c r="S17" s="669"/>
      <c r="T17" s="669"/>
      <c r="U17" s="670"/>
      <c r="V17" s="641"/>
      <c r="W17" s="665"/>
      <c r="X17" s="666"/>
      <c r="Y17" s="667"/>
      <c r="AB17" s="652"/>
      <c r="AC17" s="652"/>
      <c r="AD17" s="652"/>
      <c r="AE17" s="652"/>
      <c r="AF17" s="652"/>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row>
    <row r="18" spans="2:60" s="628" customFormat="1" ht="17.25" customHeight="1">
      <c r="B18" s="637"/>
      <c r="C18" s="649"/>
      <c r="D18" s="668"/>
      <c r="E18" s="669"/>
      <c r="F18" s="669"/>
      <c r="G18" s="669"/>
      <c r="H18" s="669"/>
      <c r="I18" s="669"/>
      <c r="J18" s="669"/>
      <c r="K18" s="669"/>
      <c r="L18" s="669"/>
      <c r="M18" s="669"/>
      <c r="N18" s="669"/>
      <c r="O18" s="669"/>
      <c r="P18" s="669"/>
      <c r="Q18" s="669"/>
      <c r="R18" s="669"/>
      <c r="S18" s="669"/>
      <c r="T18" s="669"/>
      <c r="U18" s="670"/>
      <c r="V18" s="641"/>
      <c r="W18" s="665"/>
      <c r="X18" s="666"/>
      <c r="Y18" s="667"/>
      <c r="AB18" s="652"/>
      <c r="AC18" s="652"/>
      <c r="AD18" s="652"/>
      <c r="AE18" s="652"/>
      <c r="AF18" s="652"/>
      <c r="AG18" s="639"/>
      <c r="AH18" s="639"/>
      <c r="AI18" s="639"/>
      <c r="AJ18" s="639"/>
      <c r="AK18" s="639"/>
      <c r="AL18" s="639"/>
      <c r="AM18" s="639"/>
      <c r="AN18" s="639"/>
      <c r="AO18" s="639"/>
      <c r="AP18" s="639"/>
      <c r="AQ18" s="639"/>
      <c r="AR18" s="639"/>
      <c r="AS18" s="639"/>
      <c r="AT18" s="639"/>
      <c r="AU18" s="639"/>
      <c r="AV18" s="639"/>
      <c r="AW18" s="639"/>
      <c r="AX18" s="639"/>
      <c r="AY18" s="639"/>
      <c r="AZ18" s="639"/>
      <c r="BA18" s="639"/>
      <c r="BB18" s="639"/>
      <c r="BC18" s="639"/>
      <c r="BD18" s="639"/>
      <c r="BE18" s="639"/>
      <c r="BF18" s="639"/>
      <c r="BG18" s="639"/>
      <c r="BH18" s="639"/>
    </row>
    <row r="19" spans="2:60" s="628" customFormat="1" ht="17.25" customHeight="1">
      <c r="B19" s="637"/>
      <c r="C19" s="649"/>
      <c r="D19" s="668"/>
      <c r="E19" s="669"/>
      <c r="F19" s="669"/>
      <c r="G19" s="669"/>
      <c r="H19" s="669"/>
      <c r="I19" s="669"/>
      <c r="J19" s="669"/>
      <c r="K19" s="669"/>
      <c r="L19" s="669"/>
      <c r="M19" s="669"/>
      <c r="N19" s="669"/>
      <c r="O19" s="669"/>
      <c r="P19" s="669"/>
      <c r="Q19" s="669"/>
      <c r="R19" s="669"/>
      <c r="S19" s="669"/>
      <c r="T19" s="669"/>
      <c r="U19" s="670"/>
      <c r="V19" s="641"/>
      <c r="W19" s="665"/>
      <c r="X19" s="666"/>
      <c r="Y19" s="667"/>
      <c r="AB19" s="652"/>
      <c r="AC19" s="652"/>
      <c r="AD19" s="652"/>
      <c r="AE19" s="652"/>
      <c r="AF19" s="652"/>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row>
    <row r="20" spans="2:60" s="628" customFormat="1" ht="17.25" customHeight="1">
      <c r="B20" s="637"/>
      <c r="C20" s="649"/>
      <c r="D20" s="668"/>
      <c r="E20" s="669"/>
      <c r="F20" s="669"/>
      <c r="G20" s="669"/>
      <c r="H20" s="669"/>
      <c r="I20" s="669"/>
      <c r="J20" s="669"/>
      <c r="K20" s="669"/>
      <c r="L20" s="669"/>
      <c r="M20" s="669"/>
      <c r="N20" s="669"/>
      <c r="O20" s="669"/>
      <c r="P20" s="669"/>
      <c r="Q20" s="669"/>
      <c r="R20" s="669"/>
      <c r="S20" s="669"/>
      <c r="T20" s="669"/>
      <c r="U20" s="670"/>
      <c r="V20" s="641"/>
      <c r="W20" s="665"/>
      <c r="X20" s="666"/>
      <c r="Y20" s="667"/>
      <c r="AB20" s="652"/>
      <c r="AC20" s="652"/>
      <c r="AD20" s="652"/>
      <c r="AE20" s="652"/>
      <c r="AF20" s="652"/>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row>
    <row r="21" spans="2:60" s="628" customFormat="1" ht="17.25" customHeight="1">
      <c r="B21" s="637"/>
      <c r="C21" s="649"/>
      <c r="D21" s="668"/>
      <c r="E21" s="669"/>
      <c r="F21" s="669"/>
      <c r="G21" s="669"/>
      <c r="H21" s="669"/>
      <c r="I21" s="669"/>
      <c r="J21" s="669"/>
      <c r="K21" s="669"/>
      <c r="L21" s="669"/>
      <c r="M21" s="669"/>
      <c r="N21" s="669"/>
      <c r="O21" s="669"/>
      <c r="P21" s="669"/>
      <c r="Q21" s="669"/>
      <c r="R21" s="669"/>
      <c r="S21" s="669"/>
      <c r="T21" s="669"/>
      <c r="U21" s="670"/>
      <c r="V21" s="641"/>
      <c r="W21" s="665"/>
      <c r="X21" s="666"/>
      <c r="Y21" s="667"/>
      <c r="AB21" s="652"/>
      <c r="AC21" s="652"/>
      <c r="AD21" s="652"/>
      <c r="AE21" s="652"/>
      <c r="AF21" s="652"/>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row>
    <row r="22" spans="2:60" s="628" customFormat="1" ht="17.25" customHeight="1">
      <c r="B22" s="637"/>
      <c r="C22" s="649"/>
      <c r="D22" s="668"/>
      <c r="E22" s="669"/>
      <c r="F22" s="669"/>
      <c r="G22" s="669"/>
      <c r="H22" s="669"/>
      <c r="I22" s="669"/>
      <c r="J22" s="669"/>
      <c r="K22" s="669"/>
      <c r="L22" s="669"/>
      <c r="M22" s="669"/>
      <c r="N22" s="669"/>
      <c r="O22" s="669"/>
      <c r="P22" s="669"/>
      <c r="Q22" s="669"/>
      <c r="R22" s="669"/>
      <c r="S22" s="669"/>
      <c r="T22" s="669"/>
      <c r="U22" s="670"/>
      <c r="V22" s="641"/>
      <c r="W22" s="665"/>
      <c r="X22" s="666"/>
      <c r="Y22" s="667"/>
      <c r="AB22" s="652"/>
      <c r="AC22" s="652"/>
      <c r="AD22" s="652"/>
      <c r="AE22" s="652"/>
      <c r="AF22" s="652"/>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row>
    <row r="23" spans="2:60" s="628" customFormat="1" ht="17.25" customHeight="1">
      <c r="B23" s="637"/>
      <c r="C23" s="649"/>
      <c r="D23" s="668"/>
      <c r="E23" s="669"/>
      <c r="F23" s="669"/>
      <c r="G23" s="669"/>
      <c r="H23" s="669"/>
      <c r="I23" s="669"/>
      <c r="J23" s="669"/>
      <c r="K23" s="669"/>
      <c r="L23" s="669"/>
      <c r="M23" s="669"/>
      <c r="N23" s="669"/>
      <c r="O23" s="669"/>
      <c r="P23" s="669"/>
      <c r="Q23" s="669"/>
      <c r="R23" s="669"/>
      <c r="S23" s="669"/>
      <c r="T23" s="669"/>
      <c r="U23" s="670"/>
      <c r="V23" s="641"/>
      <c r="W23" s="665"/>
      <c r="X23" s="666"/>
      <c r="Y23" s="667"/>
      <c r="AB23" s="652"/>
      <c r="AC23" s="652"/>
      <c r="AD23" s="652"/>
      <c r="AE23" s="652"/>
      <c r="AF23" s="652"/>
      <c r="AG23" s="639"/>
      <c r="AH23" s="639"/>
      <c r="AI23" s="639"/>
      <c r="AJ23" s="639"/>
      <c r="AK23" s="639"/>
      <c r="AL23" s="639"/>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row>
    <row r="24" spans="2:60" s="628" customFormat="1" ht="17.25" customHeight="1">
      <c r="B24" s="637"/>
      <c r="C24" s="649"/>
      <c r="D24" s="668"/>
      <c r="E24" s="669"/>
      <c r="F24" s="669"/>
      <c r="G24" s="669"/>
      <c r="H24" s="669"/>
      <c r="I24" s="669"/>
      <c r="J24" s="669"/>
      <c r="K24" s="669"/>
      <c r="L24" s="669"/>
      <c r="M24" s="669"/>
      <c r="N24" s="669"/>
      <c r="O24" s="669"/>
      <c r="P24" s="669"/>
      <c r="Q24" s="669"/>
      <c r="R24" s="669"/>
      <c r="S24" s="669"/>
      <c r="T24" s="669"/>
      <c r="U24" s="670"/>
      <c r="V24" s="641"/>
      <c r="W24" s="665"/>
      <c r="X24" s="666"/>
      <c r="Y24" s="667"/>
      <c r="AB24" s="652"/>
      <c r="AC24" s="652"/>
      <c r="AD24" s="652"/>
      <c r="AE24" s="652"/>
      <c r="AF24" s="652"/>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row>
    <row r="25" spans="2:60" s="628" customFormat="1" ht="17.25" customHeight="1">
      <c r="B25" s="637"/>
      <c r="C25" s="649"/>
      <c r="D25" s="668"/>
      <c r="E25" s="669"/>
      <c r="F25" s="669"/>
      <c r="G25" s="669"/>
      <c r="H25" s="669"/>
      <c r="I25" s="669"/>
      <c r="J25" s="669"/>
      <c r="K25" s="669"/>
      <c r="L25" s="669"/>
      <c r="M25" s="669"/>
      <c r="N25" s="669"/>
      <c r="O25" s="669"/>
      <c r="P25" s="669"/>
      <c r="Q25" s="669"/>
      <c r="R25" s="669"/>
      <c r="S25" s="669"/>
      <c r="T25" s="669"/>
      <c r="U25" s="670"/>
      <c r="V25" s="641"/>
      <c r="W25" s="665"/>
      <c r="X25" s="666"/>
      <c r="Y25" s="667"/>
      <c r="AB25" s="652"/>
      <c r="AC25" s="652"/>
      <c r="AD25" s="652"/>
      <c r="AE25" s="652"/>
      <c r="AF25" s="652"/>
      <c r="AG25" s="639"/>
      <c r="AH25" s="639"/>
      <c r="AI25" s="639"/>
      <c r="AJ25" s="639"/>
      <c r="AK25" s="639"/>
      <c r="AL25" s="639"/>
      <c r="AM25" s="639"/>
      <c r="AN25" s="639"/>
      <c r="AO25" s="639"/>
      <c r="AP25" s="639"/>
      <c r="AQ25" s="639"/>
      <c r="AR25" s="639"/>
      <c r="AS25" s="639"/>
      <c r="AT25" s="639"/>
      <c r="AU25" s="639"/>
      <c r="AV25" s="639"/>
      <c r="AW25" s="639"/>
      <c r="AX25" s="639"/>
      <c r="AY25" s="639"/>
      <c r="AZ25" s="639"/>
      <c r="BA25" s="639"/>
      <c r="BB25" s="639"/>
      <c r="BC25" s="639"/>
      <c r="BD25" s="639"/>
      <c r="BE25" s="639"/>
      <c r="BF25" s="639"/>
      <c r="BG25" s="639"/>
      <c r="BH25" s="639"/>
    </row>
    <row r="26" spans="2:60" s="628" customFormat="1" ht="17.25" customHeight="1">
      <c r="B26" s="637"/>
      <c r="C26" s="649"/>
      <c r="D26" s="668"/>
      <c r="E26" s="669"/>
      <c r="F26" s="669"/>
      <c r="G26" s="669"/>
      <c r="H26" s="669"/>
      <c r="I26" s="669"/>
      <c r="J26" s="669"/>
      <c r="K26" s="669"/>
      <c r="L26" s="669"/>
      <c r="M26" s="669"/>
      <c r="N26" s="669"/>
      <c r="O26" s="669"/>
      <c r="P26" s="669"/>
      <c r="Q26" s="669"/>
      <c r="R26" s="669"/>
      <c r="S26" s="669"/>
      <c r="T26" s="669"/>
      <c r="U26" s="670"/>
      <c r="V26" s="641"/>
      <c r="W26" s="665"/>
      <c r="X26" s="666"/>
      <c r="Y26" s="667"/>
      <c r="AB26" s="652"/>
      <c r="AC26" s="652"/>
      <c r="AD26" s="652"/>
      <c r="AE26" s="652"/>
      <c r="AF26" s="652"/>
      <c r="AG26" s="639"/>
      <c r="AH26" s="639"/>
      <c r="AI26" s="639"/>
      <c r="AJ26" s="639"/>
      <c r="AK26" s="639"/>
      <c r="AL26" s="639"/>
      <c r="AM26" s="639"/>
      <c r="AN26" s="639"/>
      <c r="AO26" s="639"/>
      <c r="AP26" s="639"/>
      <c r="AQ26" s="639"/>
      <c r="AR26" s="639"/>
      <c r="AS26" s="639"/>
      <c r="AT26" s="639"/>
      <c r="AU26" s="639"/>
      <c r="AV26" s="639"/>
      <c r="AW26" s="639"/>
      <c r="AX26" s="639"/>
      <c r="AY26" s="639"/>
      <c r="AZ26" s="639"/>
      <c r="BA26" s="639"/>
      <c r="BB26" s="639"/>
      <c r="BC26" s="639"/>
      <c r="BD26" s="639"/>
      <c r="BE26" s="639"/>
      <c r="BF26" s="639"/>
      <c r="BG26" s="639"/>
      <c r="BH26" s="639"/>
    </row>
    <row r="27" spans="2:60" s="628" customFormat="1" ht="17.25" customHeight="1">
      <c r="B27" s="637"/>
      <c r="C27" s="649"/>
      <c r="D27" s="668"/>
      <c r="E27" s="669"/>
      <c r="F27" s="669"/>
      <c r="G27" s="669"/>
      <c r="H27" s="669"/>
      <c r="I27" s="669"/>
      <c r="J27" s="669"/>
      <c r="K27" s="669"/>
      <c r="L27" s="669"/>
      <c r="M27" s="669"/>
      <c r="N27" s="669"/>
      <c r="O27" s="669"/>
      <c r="P27" s="669"/>
      <c r="Q27" s="669"/>
      <c r="R27" s="669"/>
      <c r="S27" s="669"/>
      <c r="T27" s="669"/>
      <c r="U27" s="670"/>
      <c r="V27" s="641"/>
      <c r="W27" s="665"/>
      <c r="X27" s="666"/>
      <c r="Y27" s="667"/>
      <c r="AB27" s="652"/>
      <c r="AC27" s="652"/>
      <c r="AD27" s="652"/>
      <c r="AE27" s="652"/>
      <c r="AF27" s="652"/>
      <c r="AG27" s="639"/>
      <c r="AH27" s="639"/>
      <c r="AI27" s="639"/>
      <c r="AJ27" s="639"/>
      <c r="AK27" s="639"/>
      <c r="AL27" s="639"/>
      <c r="AM27" s="639"/>
      <c r="AN27" s="639"/>
      <c r="AO27" s="639"/>
      <c r="AP27" s="639"/>
      <c r="AQ27" s="639"/>
      <c r="AR27" s="639"/>
      <c r="AS27" s="639"/>
      <c r="AT27" s="639"/>
      <c r="AU27" s="639"/>
      <c r="AV27" s="639"/>
      <c r="AW27" s="639"/>
      <c r="AX27" s="639"/>
      <c r="AY27" s="639"/>
      <c r="AZ27" s="639"/>
      <c r="BA27" s="639"/>
      <c r="BB27" s="639"/>
      <c r="BC27" s="639"/>
      <c r="BD27" s="639"/>
      <c r="BE27" s="639"/>
      <c r="BF27" s="639"/>
      <c r="BG27" s="639"/>
      <c r="BH27" s="639"/>
    </row>
    <row r="28" spans="2:60" s="628" customFormat="1" ht="17.25" customHeight="1">
      <c r="B28" s="637" t="s">
        <v>2</v>
      </c>
      <c r="C28" s="649" t="s">
        <v>2</v>
      </c>
      <c r="D28" s="823" t="s">
        <v>2</v>
      </c>
      <c r="E28" s="824"/>
      <c r="F28" s="824"/>
      <c r="G28" s="824"/>
      <c r="H28" s="824"/>
      <c r="I28" s="824"/>
      <c r="J28" s="824"/>
      <c r="K28" s="824"/>
      <c r="L28" s="824"/>
      <c r="M28" s="824"/>
      <c r="N28" s="824"/>
      <c r="O28" s="824"/>
      <c r="P28" s="824"/>
      <c r="Q28" s="824"/>
      <c r="R28" s="824"/>
      <c r="S28" s="824"/>
      <c r="T28" s="824"/>
      <c r="U28" s="825"/>
      <c r="V28" s="641"/>
      <c r="W28" s="1189"/>
      <c r="X28" s="1190"/>
      <c r="Y28" s="1191"/>
      <c r="AB28" s="652"/>
      <c r="AC28" s="652"/>
      <c r="AD28" s="652"/>
      <c r="AE28" s="652"/>
      <c r="AF28" s="652"/>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39"/>
      <c r="BD28" s="639"/>
      <c r="BE28" s="639"/>
      <c r="BF28" s="639"/>
      <c r="BG28" s="639"/>
      <c r="BH28" s="639"/>
    </row>
    <row r="29" spans="2:60" s="628" customFormat="1" ht="17.25" customHeight="1">
      <c r="B29" s="637"/>
      <c r="C29" s="649"/>
      <c r="D29" s="668"/>
      <c r="E29" s="669"/>
      <c r="F29" s="669"/>
      <c r="G29" s="669"/>
      <c r="H29" s="669"/>
      <c r="I29" s="669"/>
      <c r="J29" s="669"/>
      <c r="K29" s="669"/>
      <c r="L29" s="669"/>
      <c r="M29" s="669"/>
      <c r="N29" s="669"/>
      <c r="O29" s="669"/>
      <c r="P29" s="669"/>
      <c r="Q29" s="669"/>
      <c r="R29" s="669"/>
      <c r="S29" s="669"/>
      <c r="T29" s="669"/>
      <c r="U29" s="670"/>
      <c r="V29" s="641"/>
      <c r="W29" s="665"/>
      <c r="X29" s="666"/>
      <c r="Y29" s="667"/>
      <c r="AB29" s="652"/>
      <c r="AC29" s="652"/>
      <c r="AD29" s="652"/>
      <c r="AE29" s="652"/>
      <c r="AF29" s="652"/>
      <c r="AG29" s="639"/>
      <c r="AH29" s="639"/>
      <c r="AI29" s="639"/>
      <c r="AJ29" s="639"/>
      <c r="AK29" s="639"/>
      <c r="AL29" s="639"/>
      <c r="AM29" s="639"/>
      <c r="AN29" s="639"/>
      <c r="AO29" s="639"/>
      <c r="AP29" s="639"/>
      <c r="AQ29" s="639"/>
      <c r="AR29" s="639"/>
      <c r="AS29" s="639"/>
      <c r="AT29" s="639"/>
      <c r="AU29" s="639"/>
      <c r="AV29" s="639"/>
      <c r="AW29" s="639"/>
      <c r="AX29" s="639"/>
      <c r="AY29" s="639"/>
      <c r="AZ29" s="639"/>
      <c r="BA29" s="639"/>
      <c r="BB29" s="639"/>
      <c r="BC29" s="639"/>
      <c r="BD29" s="639"/>
      <c r="BE29" s="639"/>
      <c r="BF29" s="639"/>
      <c r="BG29" s="639"/>
      <c r="BH29" s="639"/>
    </row>
    <row r="30" spans="2:60" s="628" customFormat="1" ht="17.25" customHeight="1">
      <c r="B30" s="637"/>
      <c r="C30" s="649"/>
      <c r="D30" s="668"/>
      <c r="E30" s="669"/>
      <c r="F30" s="669"/>
      <c r="G30" s="669"/>
      <c r="H30" s="669"/>
      <c r="I30" s="669"/>
      <c r="J30" s="669"/>
      <c r="K30" s="669"/>
      <c r="L30" s="669"/>
      <c r="M30" s="669"/>
      <c r="N30" s="669"/>
      <c r="O30" s="669"/>
      <c r="P30" s="669"/>
      <c r="Q30" s="669"/>
      <c r="R30" s="669"/>
      <c r="S30" s="669"/>
      <c r="T30" s="669"/>
      <c r="U30" s="670"/>
      <c r="V30" s="641"/>
      <c r="W30" s="665"/>
      <c r="X30" s="666"/>
      <c r="Y30" s="667"/>
      <c r="AB30" s="652"/>
      <c r="AC30" s="652"/>
      <c r="AD30" s="652"/>
      <c r="AE30" s="652"/>
      <c r="AF30" s="652"/>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row>
    <row r="31" spans="2:60" s="628" customFormat="1" ht="17.25" customHeight="1">
      <c r="B31" s="637"/>
      <c r="C31" s="649"/>
      <c r="D31" s="668"/>
      <c r="E31" s="669"/>
      <c r="F31" s="669"/>
      <c r="G31" s="669"/>
      <c r="H31" s="669"/>
      <c r="I31" s="669"/>
      <c r="J31" s="669"/>
      <c r="K31" s="669"/>
      <c r="L31" s="669"/>
      <c r="M31" s="669"/>
      <c r="N31" s="669"/>
      <c r="O31" s="669"/>
      <c r="P31" s="669"/>
      <c r="Q31" s="669"/>
      <c r="R31" s="669"/>
      <c r="S31" s="669"/>
      <c r="T31" s="669"/>
      <c r="U31" s="670"/>
      <c r="V31" s="641"/>
      <c r="W31" s="665"/>
      <c r="X31" s="666"/>
      <c r="Y31" s="667"/>
      <c r="AB31" s="652"/>
      <c r="AC31" s="652"/>
      <c r="AD31" s="652"/>
      <c r="AE31" s="652"/>
      <c r="AF31" s="652"/>
      <c r="AG31" s="639"/>
      <c r="AH31" s="639"/>
      <c r="AI31" s="639"/>
      <c r="AJ31" s="639"/>
      <c r="AK31" s="639"/>
      <c r="AL31" s="639"/>
      <c r="AM31" s="639"/>
      <c r="AN31" s="639"/>
      <c r="AO31" s="639"/>
      <c r="AP31" s="639"/>
      <c r="AQ31" s="639"/>
      <c r="AR31" s="639"/>
      <c r="AS31" s="639"/>
      <c r="AT31" s="639"/>
      <c r="AU31" s="639"/>
      <c r="AV31" s="639"/>
      <c r="AW31" s="639"/>
      <c r="AX31" s="639"/>
      <c r="AY31" s="639"/>
      <c r="AZ31" s="639"/>
      <c r="BA31" s="639"/>
      <c r="BB31" s="639"/>
      <c r="BC31" s="639"/>
      <c r="BD31" s="639"/>
      <c r="BE31" s="639"/>
      <c r="BF31" s="639"/>
      <c r="BG31" s="639"/>
      <c r="BH31" s="639"/>
    </row>
    <row r="32" spans="2:60" s="628" customFormat="1" ht="17.25" customHeight="1">
      <c r="B32" s="637"/>
      <c r="C32" s="649"/>
      <c r="D32" s="668"/>
      <c r="E32" s="669"/>
      <c r="F32" s="669"/>
      <c r="G32" s="669"/>
      <c r="H32" s="669"/>
      <c r="I32" s="669"/>
      <c r="J32" s="669"/>
      <c r="K32" s="669"/>
      <c r="L32" s="669"/>
      <c r="M32" s="669"/>
      <c r="N32" s="669"/>
      <c r="O32" s="669"/>
      <c r="P32" s="669"/>
      <c r="Q32" s="669"/>
      <c r="R32" s="669"/>
      <c r="S32" s="669"/>
      <c r="T32" s="669"/>
      <c r="U32" s="670"/>
      <c r="V32" s="641"/>
      <c r="W32" s="665"/>
      <c r="X32" s="666"/>
      <c r="Y32" s="667"/>
      <c r="AB32" s="652"/>
      <c r="AC32" s="652"/>
      <c r="AD32" s="652"/>
      <c r="AE32" s="652"/>
      <c r="AF32" s="652"/>
      <c r="AG32" s="639"/>
      <c r="AH32" s="639"/>
      <c r="AI32" s="639"/>
      <c r="AJ32" s="639"/>
      <c r="AK32" s="639"/>
      <c r="AL32" s="639"/>
      <c r="AM32" s="639"/>
      <c r="AN32" s="639"/>
      <c r="AO32" s="639"/>
      <c r="AP32" s="639"/>
      <c r="AQ32" s="639"/>
      <c r="AR32" s="639"/>
      <c r="AS32" s="639"/>
      <c r="AT32" s="639"/>
      <c r="AU32" s="639"/>
      <c r="AV32" s="639"/>
      <c r="AW32" s="639"/>
      <c r="AX32" s="639"/>
      <c r="AY32" s="639"/>
      <c r="AZ32" s="639"/>
      <c r="BA32" s="639"/>
      <c r="BB32" s="639"/>
      <c r="BC32" s="639"/>
      <c r="BD32" s="639"/>
      <c r="BE32" s="639"/>
      <c r="BF32" s="639"/>
      <c r="BG32" s="639"/>
      <c r="BH32" s="639"/>
    </row>
    <row r="33" spans="2:60" s="628" customFormat="1" ht="17.25" customHeight="1">
      <c r="B33" s="637"/>
      <c r="C33" s="649"/>
      <c r="D33" s="668"/>
      <c r="E33" s="669"/>
      <c r="F33" s="669"/>
      <c r="G33" s="669"/>
      <c r="H33" s="669"/>
      <c r="I33" s="669"/>
      <c r="J33" s="669"/>
      <c r="K33" s="669"/>
      <c r="L33" s="669"/>
      <c r="M33" s="669"/>
      <c r="N33" s="669"/>
      <c r="O33" s="669"/>
      <c r="P33" s="669"/>
      <c r="Q33" s="669"/>
      <c r="R33" s="669"/>
      <c r="S33" s="669"/>
      <c r="T33" s="669"/>
      <c r="U33" s="670"/>
      <c r="V33" s="641"/>
      <c r="W33" s="665"/>
      <c r="X33" s="666"/>
      <c r="Y33" s="667"/>
      <c r="AB33" s="652"/>
      <c r="AC33" s="652"/>
      <c r="AD33" s="652"/>
      <c r="AE33" s="652"/>
      <c r="AF33" s="652"/>
      <c r="AG33" s="639"/>
      <c r="AH33" s="639"/>
      <c r="AI33" s="639"/>
      <c r="AJ33" s="639"/>
      <c r="AK33" s="639"/>
      <c r="AL33" s="639"/>
      <c r="AM33" s="639"/>
      <c r="AN33" s="639"/>
      <c r="AO33" s="639"/>
      <c r="AP33" s="639"/>
      <c r="AQ33" s="639"/>
      <c r="AR33" s="639"/>
      <c r="AS33" s="639"/>
      <c r="AT33" s="639"/>
      <c r="AU33" s="639"/>
      <c r="AV33" s="639"/>
      <c r="AW33" s="639"/>
      <c r="AX33" s="639"/>
      <c r="AY33" s="639"/>
      <c r="AZ33" s="639"/>
      <c r="BA33" s="639"/>
      <c r="BB33" s="639"/>
      <c r="BC33" s="639"/>
      <c r="BD33" s="639"/>
      <c r="BE33" s="639"/>
      <c r="BF33" s="639"/>
      <c r="BG33" s="639"/>
      <c r="BH33" s="639"/>
    </row>
    <row r="34" spans="2:60" s="628" customFormat="1" ht="17.25" customHeight="1">
      <c r="B34" s="637" t="s">
        <v>2</v>
      </c>
      <c r="C34" s="649" t="s">
        <v>2</v>
      </c>
      <c r="D34" s="823" t="s">
        <v>2</v>
      </c>
      <c r="E34" s="824"/>
      <c r="F34" s="824"/>
      <c r="G34" s="824"/>
      <c r="H34" s="824"/>
      <c r="I34" s="824"/>
      <c r="J34" s="824"/>
      <c r="K34" s="824"/>
      <c r="L34" s="824"/>
      <c r="M34" s="824"/>
      <c r="N34" s="824"/>
      <c r="O34" s="824"/>
      <c r="P34" s="824"/>
      <c r="Q34" s="824"/>
      <c r="R34" s="824"/>
      <c r="S34" s="824"/>
      <c r="T34" s="824"/>
      <c r="U34" s="825"/>
      <c r="V34" s="641"/>
      <c r="W34" s="1189"/>
      <c r="X34" s="1190"/>
      <c r="Y34" s="1191"/>
      <c r="AB34" s="652"/>
      <c r="AC34" s="652"/>
      <c r="AD34" s="652"/>
      <c r="AE34" s="652"/>
      <c r="AF34" s="652"/>
      <c r="AG34" s="639"/>
      <c r="AH34" s="639"/>
      <c r="AI34" s="639"/>
      <c r="AJ34" s="639"/>
      <c r="AK34" s="639"/>
      <c r="AL34" s="639"/>
      <c r="AM34" s="639"/>
      <c r="AN34" s="639"/>
      <c r="AO34" s="639"/>
      <c r="AP34" s="639"/>
      <c r="AQ34" s="639"/>
      <c r="AR34" s="639"/>
      <c r="AS34" s="639"/>
      <c r="AT34" s="639"/>
      <c r="AU34" s="639"/>
      <c r="AV34" s="639"/>
      <c r="AW34" s="639"/>
      <c r="AX34" s="639"/>
      <c r="AY34" s="639"/>
      <c r="AZ34" s="639"/>
      <c r="BA34" s="639"/>
      <c r="BB34" s="639"/>
      <c r="BC34" s="639"/>
      <c r="BD34" s="639"/>
      <c r="BE34" s="639"/>
      <c r="BF34" s="639"/>
      <c r="BG34" s="639"/>
      <c r="BH34" s="639"/>
    </row>
    <row r="35" spans="2:60" s="628" customFormat="1" ht="17.25" customHeight="1">
      <c r="B35" s="637"/>
      <c r="C35" s="649"/>
      <c r="D35" s="668"/>
      <c r="E35" s="669"/>
      <c r="F35" s="669"/>
      <c r="G35" s="669"/>
      <c r="H35" s="669"/>
      <c r="I35" s="669"/>
      <c r="J35" s="669"/>
      <c r="K35" s="669"/>
      <c r="L35" s="669"/>
      <c r="M35" s="669"/>
      <c r="N35" s="669"/>
      <c r="O35" s="669"/>
      <c r="P35" s="669"/>
      <c r="Q35" s="669"/>
      <c r="R35" s="669"/>
      <c r="S35" s="669"/>
      <c r="T35" s="669"/>
      <c r="U35" s="670"/>
      <c r="V35" s="641"/>
      <c r="W35" s="665"/>
      <c r="X35" s="666"/>
      <c r="Y35" s="667"/>
      <c r="AB35" s="652"/>
      <c r="AC35" s="652"/>
      <c r="AD35" s="652"/>
      <c r="AE35" s="652"/>
      <c r="AF35" s="652"/>
      <c r="AG35" s="639"/>
      <c r="AH35" s="639"/>
      <c r="AI35" s="639"/>
      <c r="AJ35" s="639"/>
      <c r="AK35" s="639"/>
      <c r="AL35" s="639"/>
      <c r="AM35" s="639"/>
      <c r="AN35" s="639"/>
      <c r="AO35" s="639"/>
      <c r="AP35" s="639"/>
      <c r="AQ35" s="639"/>
      <c r="AR35" s="639"/>
      <c r="AS35" s="639"/>
      <c r="AT35" s="639"/>
      <c r="AU35" s="639"/>
      <c r="AV35" s="639"/>
      <c r="AW35" s="639"/>
      <c r="AX35" s="639"/>
      <c r="AY35" s="639"/>
      <c r="AZ35" s="639"/>
      <c r="BA35" s="639"/>
      <c r="BB35" s="639"/>
      <c r="BC35" s="639"/>
      <c r="BD35" s="639"/>
      <c r="BE35" s="639"/>
      <c r="BF35" s="639"/>
      <c r="BG35" s="639"/>
      <c r="BH35" s="639"/>
    </row>
    <row r="36" spans="2:60" s="628" customFormat="1" ht="17.25" customHeight="1">
      <c r="B36" s="637"/>
      <c r="C36" s="649"/>
      <c r="D36" s="668"/>
      <c r="E36" s="669"/>
      <c r="F36" s="669"/>
      <c r="G36" s="669"/>
      <c r="H36" s="669"/>
      <c r="I36" s="669"/>
      <c r="J36" s="669"/>
      <c r="K36" s="669"/>
      <c r="L36" s="669"/>
      <c r="M36" s="669"/>
      <c r="N36" s="669"/>
      <c r="O36" s="669"/>
      <c r="P36" s="669"/>
      <c r="Q36" s="669"/>
      <c r="R36" s="669"/>
      <c r="S36" s="669"/>
      <c r="T36" s="669"/>
      <c r="U36" s="670"/>
      <c r="V36" s="641"/>
      <c r="W36" s="665"/>
      <c r="X36" s="666"/>
      <c r="Y36" s="667"/>
      <c r="AB36" s="652"/>
      <c r="AC36" s="652"/>
      <c r="AD36" s="652"/>
      <c r="AE36" s="652"/>
      <c r="AF36" s="652"/>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row>
    <row r="37" spans="2:60" s="628" customFormat="1" ht="17.25" customHeight="1">
      <c r="B37" s="637"/>
      <c r="C37" s="649"/>
      <c r="D37" s="668"/>
      <c r="E37" s="669"/>
      <c r="F37" s="669"/>
      <c r="G37" s="669"/>
      <c r="H37" s="669"/>
      <c r="I37" s="669"/>
      <c r="J37" s="669"/>
      <c r="K37" s="669"/>
      <c r="L37" s="669"/>
      <c r="M37" s="669"/>
      <c r="N37" s="669"/>
      <c r="O37" s="669"/>
      <c r="P37" s="669"/>
      <c r="Q37" s="669"/>
      <c r="R37" s="669"/>
      <c r="S37" s="669"/>
      <c r="T37" s="669"/>
      <c r="U37" s="670"/>
      <c r="V37" s="641"/>
      <c r="W37" s="665"/>
      <c r="X37" s="666"/>
      <c r="Y37" s="667"/>
      <c r="AB37" s="652"/>
      <c r="AC37" s="652"/>
      <c r="AD37" s="652"/>
      <c r="AE37" s="652"/>
      <c r="AF37" s="652"/>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639"/>
      <c r="BH37" s="639"/>
    </row>
    <row r="38" spans="2:60" s="628" customFormat="1" ht="17.25" customHeight="1">
      <c r="B38" s="637"/>
      <c r="C38" s="649"/>
      <c r="D38" s="668"/>
      <c r="E38" s="669"/>
      <c r="F38" s="669"/>
      <c r="G38" s="669"/>
      <c r="H38" s="669"/>
      <c r="I38" s="669"/>
      <c r="J38" s="669"/>
      <c r="K38" s="669"/>
      <c r="L38" s="669"/>
      <c r="M38" s="669"/>
      <c r="N38" s="669"/>
      <c r="O38" s="669"/>
      <c r="P38" s="669"/>
      <c r="Q38" s="669"/>
      <c r="R38" s="669"/>
      <c r="S38" s="669"/>
      <c r="T38" s="669"/>
      <c r="U38" s="670"/>
      <c r="V38" s="641"/>
      <c r="W38" s="665"/>
      <c r="X38" s="666"/>
      <c r="Y38" s="667"/>
      <c r="AB38" s="652"/>
      <c r="AC38" s="652"/>
      <c r="AD38" s="652"/>
      <c r="AE38" s="652"/>
      <c r="AF38" s="652"/>
      <c r="AG38" s="639"/>
      <c r="AH38" s="639"/>
      <c r="AI38" s="639"/>
      <c r="AJ38" s="639"/>
      <c r="AK38" s="639"/>
      <c r="AL38" s="639"/>
      <c r="AM38" s="639"/>
      <c r="AN38" s="639"/>
      <c r="AO38" s="639"/>
      <c r="AP38" s="639"/>
      <c r="AQ38" s="639"/>
      <c r="AR38" s="639"/>
      <c r="AS38" s="639"/>
      <c r="AT38" s="639"/>
      <c r="AU38" s="639"/>
      <c r="AV38" s="639"/>
      <c r="AW38" s="639"/>
      <c r="AX38" s="639"/>
      <c r="AY38" s="639"/>
      <c r="AZ38" s="639"/>
      <c r="BA38" s="639"/>
      <c r="BB38" s="639"/>
      <c r="BC38" s="639"/>
      <c r="BD38" s="639"/>
      <c r="BE38" s="639"/>
      <c r="BF38" s="639"/>
      <c r="BG38" s="639"/>
      <c r="BH38" s="639"/>
    </row>
    <row r="39" spans="2:60" s="628" customFormat="1" ht="17.25" customHeight="1">
      <c r="B39" s="637"/>
      <c r="C39" s="649"/>
      <c r="D39" s="668"/>
      <c r="E39" s="669"/>
      <c r="F39" s="669"/>
      <c r="G39" s="669"/>
      <c r="H39" s="669"/>
      <c r="I39" s="669"/>
      <c r="J39" s="669"/>
      <c r="K39" s="669"/>
      <c r="L39" s="669"/>
      <c r="M39" s="669"/>
      <c r="N39" s="669"/>
      <c r="O39" s="669"/>
      <c r="P39" s="669"/>
      <c r="Q39" s="669"/>
      <c r="R39" s="669"/>
      <c r="S39" s="669"/>
      <c r="T39" s="669"/>
      <c r="U39" s="670"/>
      <c r="V39" s="641"/>
      <c r="W39" s="665"/>
      <c r="X39" s="666"/>
      <c r="Y39" s="667"/>
      <c r="AB39" s="652"/>
      <c r="AC39" s="652"/>
      <c r="AD39" s="652"/>
      <c r="AE39" s="652"/>
      <c r="AF39" s="652"/>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c r="BD39" s="639"/>
      <c r="BE39" s="639"/>
      <c r="BF39" s="639"/>
      <c r="BG39" s="639"/>
      <c r="BH39" s="639"/>
    </row>
    <row r="40" spans="2:60" s="628" customFormat="1" ht="17.25" customHeight="1">
      <c r="B40" s="637"/>
      <c r="C40" s="649"/>
      <c r="D40" s="668"/>
      <c r="E40" s="669"/>
      <c r="F40" s="669"/>
      <c r="G40" s="669"/>
      <c r="H40" s="669"/>
      <c r="I40" s="669"/>
      <c r="J40" s="669"/>
      <c r="K40" s="669"/>
      <c r="L40" s="669"/>
      <c r="M40" s="669"/>
      <c r="N40" s="669"/>
      <c r="O40" s="669"/>
      <c r="P40" s="669"/>
      <c r="Q40" s="669"/>
      <c r="R40" s="669"/>
      <c r="S40" s="669"/>
      <c r="T40" s="669"/>
      <c r="U40" s="670"/>
      <c r="V40" s="641"/>
      <c r="W40" s="665"/>
      <c r="X40" s="666"/>
      <c r="Y40" s="667"/>
      <c r="AB40" s="652"/>
      <c r="AC40" s="652"/>
      <c r="AD40" s="652"/>
      <c r="AE40" s="652"/>
      <c r="AF40" s="652"/>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c r="BD40" s="639"/>
      <c r="BE40" s="639"/>
      <c r="BF40" s="639"/>
      <c r="BG40" s="639"/>
      <c r="BH40" s="639"/>
    </row>
    <row r="41" spans="2:60" s="628" customFormat="1" ht="17.25" customHeight="1">
      <c r="B41" s="637"/>
      <c r="C41" s="649"/>
      <c r="D41" s="668"/>
      <c r="E41" s="669"/>
      <c r="F41" s="669"/>
      <c r="G41" s="669"/>
      <c r="H41" s="669"/>
      <c r="I41" s="669"/>
      <c r="J41" s="669"/>
      <c r="K41" s="669"/>
      <c r="L41" s="669"/>
      <c r="M41" s="669"/>
      <c r="N41" s="669"/>
      <c r="O41" s="669"/>
      <c r="P41" s="669"/>
      <c r="Q41" s="669"/>
      <c r="R41" s="669"/>
      <c r="S41" s="669"/>
      <c r="T41" s="669"/>
      <c r="U41" s="670"/>
      <c r="V41" s="641"/>
      <c r="W41" s="665"/>
      <c r="X41" s="666"/>
      <c r="Y41" s="667"/>
      <c r="AB41" s="652"/>
      <c r="AC41" s="652"/>
      <c r="AD41" s="652"/>
      <c r="AE41" s="652"/>
      <c r="AF41" s="652"/>
      <c r="AG41" s="639"/>
      <c r="AH41" s="639"/>
      <c r="AI41" s="639"/>
      <c r="AJ41" s="639"/>
      <c r="AK41" s="639"/>
      <c r="AL41" s="639"/>
      <c r="AM41" s="639"/>
      <c r="AN41" s="639"/>
      <c r="AO41" s="639"/>
      <c r="AP41" s="639"/>
      <c r="AQ41" s="639"/>
      <c r="AR41" s="639"/>
      <c r="AS41" s="639"/>
      <c r="AT41" s="639"/>
      <c r="AU41" s="639"/>
      <c r="AV41" s="639"/>
      <c r="AW41" s="639"/>
      <c r="AX41" s="639"/>
      <c r="AY41" s="639"/>
      <c r="AZ41" s="639"/>
      <c r="BA41" s="639"/>
      <c r="BB41" s="639"/>
      <c r="BC41" s="639"/>
      <c r="BD41" s="639"/>
      <c r="BE41" s="639"/>
      <c r="BF41" s="639"/>
      <c r="BG41" s="639"/>
      <c r="BH41" s="639"/>
    </row>
    <row r="42" spans="2:60" s="628" customFormat="1" ht="17.25" customHeight="1">
      <c r="B42" s="637"/>
      <c r="C42" s="649"/>
      <c r="D42" s="668"/>
      <c r="E42" s="669"/>
      <c r="F42" s="669"/>
      <c r="G42" s="669"/>
      <c r="H42" s="669"/>
      <c r="I42" s="669"/>
      <c r="J42" s="669"/>
      <c r="K42" s="669"/>
      <c r="L42" s="669"/>
      <c r="M42" s="669"/>
      <c r="N42" s="669"/>
      <c r="O42" s="669"/>
      <c r="P42" s="669"/>
      <c r="Q42" s="669"/>
      <c r="R42" s="669"/>
      <c r="S42" s="669"/>
      <c r="T42" s="669"/>
      <c r="U42" s="670"/>
      <c r="V42" s="641"/>
      <c r="W42" s="665"/>
      <c r="X42" s="666"/>
      <c r="Y42" s="667"/>
      <c r="AB42" s="652"/>
      <c r="AC42" s="652"/>
      <c r="AD42" s="652"/>
      <c r="AE42" s="652"/>
      <c r="AF42" s="652"/>
      <c r="AG42" s="639"/>
      <c r="AH42" s="639"/>
      <c r="AI42" s="639"/>
      <c r="AJ42" s="639"/>
      <c r="AK42" s="639"/>
      <c r="AL42" s="639"/>
      <c r="AM42" s="639"/>
      <c r="AN42" s="639"/>
      <c r="AO42" s="639"/>
      <c r="AP42" s="639"/>
      <c r="AQ42" s="639"/>
      <c r="AR42" s="639"/>
      <c r="AS42" s="639"/>
      <c r="AT42" s="639"/>
      <c r="AU42" s="639"/>
      <c r="AV42" s="639"/>
      <c r="AW42" s="639"/>
      <c r="AX42" s="639"/>
      <c r="AY42" s="639"/>
      <c r="AZ42" s="639"/>
      <c r="BA42" s="639"/>
      <c r="BB42" s="639"/>
      <c r="BC42" s="639"/>
      <c r="BD42" s="639"/>
      <c r="BE42" s="639"/>
      <c r="BF42" s="639"/>
      <c r="BG42" s="639"/>
      <c r="BH42" s="639"/>
    </row>
    <row r="43" spans="2:60" s="628" customFormat="1" ht="17.25" customHeight="1">
      <c r="B43" s="637"/>
      <c r="C43" s="649"/>
      <c r="D43" s="668"/>
      <c r="E43" s="669"/>
      <c r="F43" s="669"/>
      <c r="G43" s="669"/>
      <c r="H43" s="669"/>
      <c r="I43" s="669"/>
      <c r="J43" s="669"/>
      <c r="K43" s="669"/>
      <c r="L43" s="669"/>
      <c r="M43" s="669"/>
      <c r="N43" s="669"/>
      <c r="O43" s="669"/>
      <c r="P43" s="669"/>
      <c r="Q43" s="669"/>
      <c r="R43" s="669"/>
      <c r="S43" s="669"/>
      <c r="T43" s="669"/>
      <c r="U43" s="670"/>
      <c r="V43" s="641"/>
      <c r="W43" s="665"/>
      <c r="X43" s="666"/>
      <c r="Y43" s="667"/>
      <c r="AB43" s="652"/>
      <c r="AC43" s="652"/>
      <c r="AD43" s="652"/>
      <c r="AE43" s="652"/>
      <c r="AF43" s="652"/>
      <c r="AG43" s="639"/>
      <c r="AH43" s="639"/>
      <c r="AI43" s="639"/>
      <c r="AJ43" s="639"/>
      <c r="AK43" s="639"/>
      <c r="AL43" s="639"/>
      <c r="AM43" s="639"/>
      <c r="AN43" s="639"/>
      <c r="AO43" s="639"/>
      <c r="AP43" s="639"/>
      <c r="AQ43" s="639"/>
      <c r="AR43" s="639"/>
      <c r="AS43" s="639"/>
      <c r="AT43" s="639"/>
      <c r="AU43" s="639"/>
      <c r="AV43" s="639"/>
      <c r="AW43" s="639"/>
      <c r="AX43" s="639"/>
      <c r="AY43" s="639"/>
      <c r="AZ43" s="639"/>
      <c r="BA43" s="639"/>
      <c r="BB43" s="639"/>
      <c r="BC43" s="639"/>
      <c r="BD43" s="639"/>
      <c r="BE43" s="639"/>
      <c r="BF43" s="639"/>
      <c r="BG43" s="639"/>
      <c r="BH43" s="639"/>
    </row>
    <row r="44" spans="2:60" s="628" customFormat="1" ht="17.25" customHeight="1">
      <c r="B44" s="637" t="s">
        <v>2</v>
      </c>
      <c r="C44" s="649" t="s">
        <v>2</v>
      </c>
      <c r="D44" s="823" t="s">
        <v>2</v>
      </c>
      <c r="E44" s="824"/>
      <c r="F44" s="824"/>
      <c r="G44" s="824"/>
      <c r="H44" s="824"/>
      <c r="I44" s="824"/>
      <c r="J44" s="824"/>
      <c r="K44" s="824"/>
      <c r="L44" s="824"/>
      <c r="M44" s="824"/>
      <c r="N44" s="824"/>
      <c r="O44" s="824"/>
      <c r="P44" s="824"/>
      <c r="Q44" s="824"/>
      <c r="R44" s="824"/>
      <c r="S44" s="824"/>
      <c r="T44" s="824"/>
      <c r="U44" s="825"/>
      <c r="V44" s="641"/>
      <c r="W44" s="1189"/>
      <c r="X44" s="1190"/>
      <c r="Y44" s="1191"/>
      <c r="AB44" s="652"/>
      <c r="AC44" s="652"/>
      <c r="AD44" s="652"/>
      <c r="AE44" s="652"/>
      <c r="AF44" s="652"/>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row>
    <row r="45" spans="2:60" s="628" customFormat="1" ht="17.25" customHeight="1">
      <c r="B45" s="637" t="s">
        <v>2</v>
      </c>
      <c r="C45" s="649" t="s">
        <v>2</v>
      </c>
      <c r="D45" s="823" t="s">
        <v>2</v>
      </c>
      <c r="E45" s="824"/>
      <c r="F45" s="824"/>
      <c r="G45" s="824"/>
      <c r="H45" s="824"/>
      <c r="I45" s="824"/>
      <c r="J45" s="824"/>
      <c r="K45" s="824"/>
      <c r="L45" s="824"/>
      <c r="M45" s="824"/>
      <c r="N45" s="824"/>
      <c r="O45" s="824"/>
      <c r="P45" s="824"/>
      <c r="Q45" s="824"/>
      <c r="R45" s="824"/>
      <c r="S45" s="824"/>
      <c r="T45" s="824"/>
      <c r="U45" s="825"/>
      <c r="V45" s="641"/>
      <c r="W45" s="1189"/>
      <c r="X45" s="1190"/>
      <c r="Y45" s="1191"/>
      <c r="AB45" s="652"/>
      <c r="AC45" s="652"/>
      <c r="AD45" s="652"/>
      <c r="AE45" s="652"/>
      <c r="AF45" s="652"/>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row>
    <row r="46" spans="2:60" s="636" customFormat="1" ht="13.5" thickBot="1">
      <c r="G46" s="636" t="s">
        <v>2</v>
      </c>
      <c r="AB46" s="652"/>
      <c r="AC46" s="652"/>
      <c r="AD46" s="652"/>
      <c r="AE46" s="652"/>
      <c r="AF46" s="652"/>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row>
    <row r="47" spans="2:60" s="635" customFormat="1" ht="15.75">
      <c r="B47" s="650" t="s">
        <v>381</v>
      </c>
      <c r="C47" s="663"/>
      <c r="D47" s="661"/>
      <c r="E47" s="1192" t="s">
        <v>570</v>
      </c>
      <c r="F47" s="1192"/>
      <c r="G47" s="1192"/>
      <c r="H47" s="1192"/>
      <c r="I47" s="1192"/>
      <c r="J47" s="1192"/>
      <c r="K47" s="1192"/>
      <c r="L47" s="1192"/>
      <c r="M47" s="1192"/>
      <c r="N47" s="1192"/>
      <c r="O47" s="1192"/>
      <c r="P47" s="1192"/>
      <c r="Q47" s="1192"/>
      <c r="R47" s="1192"/>
      <c r="S47" s="1192"/>
      <c r="T47" s="1192"/>
      <c r="U47" s="1192"/>
      <c r="V47" s="1192"/>
      <c r="W47" s="1192"/>
      <c r="X47" s="642"/>
      <c r="Y47" s="642"/>
      <c r="Z47" s="642"/>
      <c r="AA47" s="640"/>
      <c r="AB47" s="639" t="s">
        <v>2</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row>
    <row r="48" spans="2:60" s="635" customFormat="1" ht="1.5" customHeight="1">
      <c r="C48" s="663"/>
      <c r="D48" s="661"/>
      <c r="E48" s="661"/>
      <c r="F48" s="661"/>
      <c r="G48" s="661"/>
      <c r="H48" s="661"/>
      <c r="I48" s="661"/>
      <c r="K48" s="642"/>
      <c r="L48" s="642"/>
      <c r="M48" s="642"/>
      <c r="N48" s="642"/>
      <c r="O48" s="642"/>
      <c r="P48" s="642"/>
      <c r="Q48" s="642"/>
      <c r="R48" s="642"/>
      <c r="S48" s="642"/>
      <c r="T48" s="642"/>
      <c r="U48" s="642"/>
      <c r="V48" s="642"/>
      <c r="W48" s="642"/>
      <c r="X48" s="642"/>
      <c r="Y48" s="642"/>
      <c r="Z48" s="642"/>
      <c r="AA48" s="640"/>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row>
    <row r="49" spans="3:60" s="635" customFormat="1">
      <c r="C49" s="663" t="s">
        <v>382</v>
      </c>
      <c r="D49" s="661"/>
      <c r="E49" s="661"/>
      <c r="F49" s="661"/>
      <c r="G49" s="661"/>
      <c r="H49" s="661"/>
      <c r="I49" s="661"/>
      <c r="K49" s="922"/>
      <c r="L49" s="923"/>
      <c r="M49" s="923"/>
      <c r="N49" s="923"/>
      <c r="O49" s="923"/>
      <c r="P49" s="923"/>
      <c r="Q49" s="923"/>
      <c r="R49" s="922" t="s">
        <v>571</v>
      </c>
      <c r="S49" s="923"/>
      <c r="T49" s="923"/>
      <c r="U49" s="923"/>
      <c r="V49" s="923"/>
      <c r="W49" s="923"/>
      <c r="X49" s="642"/>
      <c r="Y49" s="664" t="s">
        <v>385</v>
      </c>
      <c r="Z49" s="642"/>
      <c r="AA49" s="640"/>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row>
    <row r="50" spans="3:60" s="635" customFormat="1" ht="15.75" customHeight="1">
      <c r="C50" s="789" t="s">
        <v>2</v>
      </c>
      <c r="D50" s="789"/>
      <c r="E50" s="789"/>
      <c r="F50" s="789"/>
      <c r="G50" s="789"/>
      <c r="H50" s="789"/>
      <c r="I50" s="789"/>
      <c r="K50" s="925"/>
      <c r="L50" s="789"/>
      <c r="M50" s="789"/>
      <c r="N50" s="789"/>
      <c r="O50" s="789"/>
      <c r="P50" s="789"/>
      <c r="Q50" s="789"/>
      <c r="R50" s="746"/>
      <c r="S50" s="747"/>
      <c r="T50" s="747"/>
      <c r="U50" s="747"/>
      <c r="V50" s="747"/>
      <c r="W50" s="747"/>
      <c r="X50" s="747"/>
      <c r="Y50" s="878" t="s">
        <v>2</v>
      </c>
      <c r="Z50" s="786"/>
      <c r="AA50" s="640"/>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row>
    <row r="51" spans="3:60" s="635" customFormat="1" ht="15.75" customHeight="1">
      <c r="C51" s="925"/>
      <c r="D51" s="789"/>
      <c r="E51" s="789"/>
      <c r="F51" s="789"/>
      <c r="G51" s="789"/>
      <c r="H51" s="789"/>
      <c r="I51" s="789"/>
      <c r="K51" s="789"/>
      <c r="L51" s="789"/>
      <c r="M51" s="789"/>
      <c r="N51" s="789"/>
      <c r="O51" s="789"/>
      <c r="P51" s="789"/>
      <c r="Q51" s="789"/>
      <c r="R51" s="746" t="s">
        <v>2</v>
      </c>
      <c r="S51" s="747"/>
      <c r="T51" s="747"/>
      <c r="U51" s="747"/>
      <c r="V51" s="747"/>
      <c r="W51" s="747"/>
      <c r="X51" s="747"/>
      <c r="Y51" s="786" t="s">
        <v>2</v>
      </c>
      <c r="Z51" s="786"/>
      <c r="AA51" s="640"/>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row>
    <row r="52" spans="3:60" s="635" customFormat="1" ht="15.75" customHeight="1">
      <c r="C52" s="925"/>
      <c r="D52" s="789"/>
      <c r="E52" s="789"/>
      <c r="F52" s="789"/>
      <c r="G52" s="789"/>
      <c r="H52" s="789"/>
      <c r="I52" s="789"/>
      <c r="K52" s="789"/>
      <c r="L52" s="789"/>
      <c r="M52" s="789"/>
      <c r="N52" s="789"/>
      <c r="O52" s="789"/>
      <c r="P52" s="789"/>
      <c r="Q52" s="789"/>
      <c r="R52" s="746" t="s">
        <v>2</v>
      </c>
      <c r="S52" s="747"/>
      <c r="T52" s="747"/>
      <c r="U52" s="747"/>
      <c r="V52" s="747"/>
      <c r="W52" s="747"/>
      <c r="X52" s="747"/>
      <c r="Y52" s="786" t="s">
        <v>2</v>
      </c>
      <c r="Z52" s="786"/>
      <c r="AA52" s="640"/>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row>
    <row r="53" spans="3:60" s="635" customFormat="1" ht="15.75" customHeight="1">
      <c r="C53" s="789"/>
      <c r="D53" s="789"/>
      <c r="E53" s="789"/>
      <c r="F53" s="789"/>
      <c r="G53" s="789"/>
      <c r="H53" s="789"/>
      <c r="I53" s="789"/>
      <c r="K53" s="789"/>
      <c r="L53" s="789"/>
      <c r="M53" s="789"/>
      <c r="N53" s="789"/>
      <c r="O53" s="789"/>
      <c r="P53" s="789"/>
      <c r="Q53" s="789"/>
      <c r="R53" s="747"/>
      <c r="S53" s="747"/>
      <c r="T53" s="747"/>
      <c r="U53" s="747"/>
      <c r="V53" s="747"/>
      <c r="W53" s="747"/>
      <c r="X53" s="747"/>
      <c r="Y53" s="786"/>
      <c r="Z53" s="786"/>
      <c r="AA53" s="640"/>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row>
    <row r="54" spans="3:60" s="635" customFormat="1" ht="15.75" customHeight="1">
      <c r="C54" s="925"/>
      <c r="D54" s="789"/>
      <c r="E54" s="789"/>
      <c r="F54" s="789"/>
      <c r="G54" s="789"/>
      <c r="H54" s="789"/>
      <c r="I54" s="789"/>
      <c r="K54" s="789"/>
      <c r="L54" s="789"/>
      <c r="M54" s="789"/>
      <c r="N54" s="789"/>
      <c r="O54" s="789"/>
      <c r="P54" s="789"/>
      <c r="Q54" s="789"/>
      <c r="R54" s="746" t="s">
        <v>2</v>
      </c>
      <c r="S54" s="747"/>
      <c r="T54" s="747"/>
      <c r="U54" s="747"/>
      <c r="V54" s="747"/>
      <c r="W54" s="747"/>
      <c r="X54" s="747"/>
      <c r="Y54" s="786" t="s">
        <v>2</v>
      </c>
      <c r="Z54" s="786"/>
      <c r="AA54" s="640"/>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c r="BD54" s="639"/>
      <c r="BE54" s="639"/>
      <c r="BF54" s="639"/>
      <c r="BG54" s="639"/>
      <c r="BH54" s="639"/>
    </row>
    <row r="55" spans="3:60" s="635" customFormat="1" ht="15.75" customHeight="1">
      <c r="C55" s="925"/>
      <c r="D55" s="789"/>
      <c r="E55" s="789"/>
      <c r="F55" s="789"/>
      <c r="G55" s="789"/>
      <c r="H55" s="789"/>
      <c r="I55" s="789"/>
      <c r="K55" s="789"/>
      <c r="L55" s="789"/>
      <c r="M55" s="789"/>
      <c r="N55" s="789"/>
      <c r="O55" s="789"/>
      <c r="P55" s="789"/>
      <c r="Q55" s="789"/>
      <c r="R55" s="746" t="s">
        <v>2</v>
      </c>
      <c r="S55" s="747"/>
      <c r="T55" s="747"/>
      <c r="U55" s="747"/>
      <c r="V55" s="747"/>
      <c r="W55" s="747"/>
      <c r="X55" s="747"/>
      <c r="Y55" s="786" t="s">
        <v>2</v>
      </c>
      <c r="Z55" s="786"/>
      <c r="AA55" s="640"/>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39"/>
      <c r="AY55" s="639"/>
      <c r="AZ55" s="639"/>
      <c r="BA55" s="639"/>
      <c r="BB55" s="639"/>
      <c r="BC55" s="639"/>
      <c r="BD55" s="639"/>
      <c r="BE55" s="639"/>
      <c r="BF55" s="639"/>
      <c r="BG55" s="639"/>
      <c r="BH55" s="639"/>
    </row>
    <row r="56" spans="3:60" s="635" customFormat="1" ht="15.75" customHeight="1">
      <c r="C56" s="925"/>
      <c r="D56" s="789"/>
      <c r="E56" s="789"/>
      <c r="F56" s="789"/>
      <c r="G56" s="789"/>
      <c r="H56" s="789"/>
      <c r="I56" s="789"/>
      <c r="K56" s="789"/>
      <c r="L56" s="789"/>
      <c r="M56" s="789"/>
      <c r="N56" s="789"/>
      <c r="O56" s="789"/>
      <c r="P56" s="789"/>
      <c r="Q56" s="789"/>
      <c r="R56" s="746" t="s">
        <v>2</v>
      </c>
      <c r="S56" s="747"/>
      <c r="T56" s="747"/>
      <c r="U56" s="747"/>
      <c r="V56" s="747"/>
      <c r="W56" s="747"/>
      <c r="X56" s="747"/>
      <c r="Y56" s="786" t="s">
        <v>2</v>
      </c>
      <c r="Z56" s="786"/>
      <c r="AA56" s="640"/>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c r="BA56" s="639"/>
      <c r="BB56" s="639"/>
      <c r="BC56" s="639"/>
      <c r="BD56" s="639"/>
      <c r="BE56" s="639"/>
      <c r="BF56" s="639"/>
      <c r="BG56" s="639"/>
      <c r="BH56" s="639"/>
    </row>
    <row r="57" spans="3:60" s="635" customFormat="1" ht="15.75" customHeight="1">
      <c r="C57" s="925"/>
      <c r="D57" s="789"/>
      <c r="E57" s="789"/>
      <c r="F57" s="789"/>
      <c r="G57" s="789"/>
      <c r="H57" s="789"/>
      <c r="I57" s="789"/>
      <c r="K57" s="789"/>
      <c r="L57" s="789"/>
      <c r="M57" s="789"/>
      <c r="N57" s="789"/>
      <c r="O57" s="789"/>
      <c r="P57" s="789"/>
      <c r="Q57" s="789"/>
      <c r="R57" s="746" t="s">
        <v>2</v>
      </c>
      <c r="S57" s="747"/>
      <c r="T57" s="747"/>
      <c r="U57" s="747"/>
      <c r="V57" s="747"/>
      <c r="W57" s="747"/>
      <c r="X57" s="747"/>
      <c r="Y57" s="786" t="s">
        <v>2</v>
      </c>
      <c r="Z57" s="786"/>
      <c r="AA57" s="640"/>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row>
    <row r="58" spans="3:60" s="635" customFormat="1" ht="15.75" customHeight="1">
      <c r="C58" s="925"/>
      <c r="D58" s="789"/>
      <c r="E58" s="789"/>
      <c r="F58" s="789"/>
      <c r="G58" s="789"/>
      <c r="H58" s="789"/>
      <c r="I58" s="789"/>
      <c r="K58" s="789"/>
      <c r="L58" s="789"/>
      <c r="M58" s="789"/>
      <c r="N58" s="789"/>
      <c r="O58" s="789"/>
      <c r="P58" s="789"/>
      <c r="Q58" s="789"/>
      <c r="R58" s="746" t="s">
        <v>2</v>
      </c>
      <c r="S58" s="747"/>
      <c r="T58" s="747"/>
      <c r="U58" s="747"/>
      <c r="V58" s="747"/>
      <c r="W58" s="747"/>
      <c r="X58" s="747"/>
      <c r="Y58" s="786" t="s">
        <v>2</v>
      </c>
      <c r="Z58" s="786"/>
      <c r="AA58" s="640"/>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c r="BF58" s="639"/>
      <c r="BG58" s="639"/>
      <c r="BH58" s="639"/>
    </row>
    <row r="59" spans="3:60" s="635" customFormat="1" ht="15.75" customHeight="1">
      <c r="C59" s="925"/>
      <c r="D59" s="789"/>
      <c r="E59" s="789"/>
      <c r="F59" s="789"/>
      <c r="G59" s="789"/>
      <c r="H59" s="789"/>
      <c r="I59" s="789"/>
      <c r="K59" s="789"/>
      <c r="L59" s="789"/>
      <c r="M59" s="789"/>
      <c r="N59" s="789"/>
      <c r="O59" s="789"/>
      <c r="P59" s="789"/>
      <c r="Q59" s="789"/>
      <c r="R59" s="746" t="s">
        <v>2</v>
      </c>
      <c r="S59" s="747"/>
      <c r="T59" s="747"/>
      <c r="U59" s="747"/>
      <c r="V59" s="747"/>
      <c r="W59" s="747"/>
      <c r="X59" s="747"/>
      <c r="Y59" s="786" t="s">
        <v>2</v>
      </c>
      <c r="Z59" s="786"/>
      <c r="AA59" s="640"/>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39"/>
      <c r="AX59" s="639"/>
      <c r="AY59" s="639"/>
      <c r="AZ59" s="639"/>
      <c r="BA59" s="639"/>
      <c r="BB59" s="639"/>
      <c r="BC59" s="639"/>
      <c r="BD59" s="639"/>
      <c r="BE59" s="639"/>
      <c r="BF59" s="639"/>
      <c r="BG59" s="639"/>
      <c r="BH59" s="639"/>
    </row>
    <row r="60" spans="3:60" s="635" customFormat="1" ht="15.75" customHeight="1">
      <c r="C60" s="925"/>
      <c r="D60" s="789"/>
      <c r="E60" s="789"/>
      <c r="F60" s="789"/>
      <c r="G60" s="789"/>
      <c r="H60" s="789"/>
      <c r="I60" s="789"/>
      <c r="K60" s="789"/>
      <c r="L60" s="789"/>
      <c r="M60" s="789"/>
      <c r="N60" s="789"/>
      <c r="O60" s="789"/>
      <c r="P60" s="789"/>
      <c r="Q60" s="789"/>
      <c r="R60" s="746" t="s">
        <v>2</v>
      </c>
      <c r="S60" s="747"/>
      <c r="T60" s="747"/>
      <c r="U60" s="747"/>
      <c r="V60" s="747"/>
      <c r="W60" s="747"/>
      <c r="X60" s="747"/>
      <c r="Y60" s="786" t="s">
        <v>2</v>
      </c>
      <c r="Z60" s="786"/>
      <c r="AA60" s="640"/>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39"/>
      <c r="AY60" s="639"/>
      <c r="AZ60" s="639"/>
      <c r="BA60" s="639"/>
      <c r="BB60" s="639"/>
      <c r="BC60" s="639"/>
      <c r="BD60" s="639"/>
      <c r="BE60" s="639"/>
      <c r="BF60" s="639"/>
      <c r="BG60" s="639"/>
      <c r="BH60" s="639"/>
    </row>
    <row r="61" spans="3:60" s="635" customFormat="1" ht="15.75" customHeight="1">
      <c r="C61" s="925"/>
      <c r="D61" s="789"/>
      <c r="E61" s="789"/>
      <c r="F61" s="789"/>
      <c r="G61" s="789"/>
      <c r="H61" s="789"/>
      <c r="I61" s="789"/>
      <c r="K61" s="789"/>
      <c r="L61" s="789"/>
      <c r="M61" s="789"/>
      <c r="N61" s="789"/>
      <c r="O61" s="789"/>
      <c r="P61" s="789"/>
      <c r="Q61" s="789"/>
      <c r="R61" s="746" t="s">
        <v>2</v>
      </c>
      <c r="S61" s="747"/>
      <c r="T61" s="747"/>
      <c r="U61" s="747"/>
      <c r="V61" s="747"/>
      <c r="W61" s="747"/>
      <c r="X61" s="747"/>
      <c r="Y61" s="786" t="s">
        <v>2</v>
      </c>
      <c r="Z61" s="786"/>
      <c r="AA61" s="640"/>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39"/>
      <c r="AY61" s="639"/>
      <c r="AZ61" s="639"/>
      <c r="BA61" s="639"/>
      <c r="BB61" s="639"/>
      <c r="BC61" s="639"/>
      <c r="BD61" s="639"/>
      <c r="BE61" s="639"/>
      <c r="BF61" s="639"/>
      <c r="BG61" s="639"/>
      <c r="BH61" s="639"/>
    </row>
    <row r="62" spans="3:60" s="635" customFormat="1" ht="15.75" customHeight="1">
      <c r="C62" s="925"/>
      <c r="D62" s="789"/>
      <c r="E62" s="789"/>
      <c r="F62" s="789"/>
      <c r="G62" s="789"/>
      <c r="H62" s="789"/>
      <c r="I62" s="789"/>
      <c r="K62" s="789"/>
      <c r="L62" s="789"/>
      <c r="M62" s="789"/>
      <c r="N62" s="789"/>
      <c r="O62" s="789"/>
      <c r="P62" s="789"/>
      <c r="Q62" s="789"/>
      <c r="R62" s="746" t="s">
        <v>2</v>
      </c>
      <c r="S62" s="747"/>
      <c r="T62" s="747"/>
      <c r="U62" s="747"/>
      <c r="V62" s="747"/>
      <c r="W62" s="747"/>
      <c r="X62" s="747"/>
      <c r="Y62" s="786" t="s">
        <v>2</v>
      </c>
      <c r="Z62" s="786"/>
      <c r="AA62" s="640"/>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row>
    <row r="63" spans="3:60" s="635" customFormat="1" ht="15.75" customHeight="1">
      <c r="C63" s="925"/>
      <c r="D63" s="789"/>
      <c r="E63" s="789"/>
      <c r="F63" s="789"/>
      <c r="G63" s="789"/>
      <c r="H63" s="789"/>
      <c r="I63" s="789"/>
      <c r="K63" s="789"/>
      <c r="L63" s="789"/>
      <c r="M63" s="789"/>
      <c r="N63" s="789"/>
      <c r="O63" s="789"/>
      <c r="P63" s="789"/>
      <c r="Q63" s="789"/>
      <c r="R63" s="746" t="s">
        <v>2</v>
      </c>
      <c r="S63" s="747"/>
      <c r="T63" s="747"/>
      <c r="U63" s="747"/>
      <c r="V63" s="747"/>
      <c r="W63" s="747"/>
      <c r="X63" s="747"/>
      <c r="Y63" s="786" t="s">
        <v>2</v>
      </c>
      <c r="Z63" s="786"/>
      <c r="AA63" s="640"/>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39"/>
      <c r="AY63" s="639"/>
      <c r="AZ63" s="639"/>
      <c r="BA63" s="639"/>
      <c r="BB63" s="639"/>
      <c r="BC63" s="639"/>
      <c r="BD63" s="639"/>
      <c r="BE63" s="639"/>
      <c r="BF63" s="639"/>
      <c r="BG63" s="639"/>
      <c r="BH63" s="639"/>
    </row>
    <row r="64" spans="3:60" s="635" customFormat="1" ht="15.75" customHeight="1">
      <c r="C64" s="925"/>
      <c r="D64" s="789"/>
      <c r="E64" s="789"/>
      <c r="F64" s="789"/>
      <c r="G64" s="789"/>
      <c r="H64" s="789"/>
      <c r="I64" s="789"/>
      <c r="K64" s="789"/>
      <c r="L64" s="789"/>
      <c r="M64" s="789"/>
      <c r="N64" s="789"/>
      <c r="O64" s="789"/>
      <c r="P64" s="789"/>
      <c r="Q64" s="789"/>
      <c r="R64" s="746" t="s">
        <v>2</v>
      </c>
      <c r="S64" s="747"/>
      <c r="T64" s="747"/>
      <c r="U64" s="747"/>
      <c r="V64" s="747"/>
      <c r="W64" s="747"/>
      <c r="X64" s="747"/>
      <c r="Y64" s="786" t="s">
        <v>2</v>
      </c>
      <c r="Z64" s="786"/>
      <c r="AA64" s="640"/>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39"/>
      <c r="AY64" s="639"/>
      <c r="AZ64" s="639"/>
      <c r="BA64" s="639"/>
      <c r="BB64" s="639"/>
      <c r="BC64" s="639"/>
      <c r="BD64" s="639"/>
      <c r="BE64" s="639"/>
      <c r="BF64" s="639"/>
      <c r="BG64" s="639"/>
      <c r="BH64" s="639"/>
    </row>
    <row r="65" spans="3:60" s="635" customFormat="1" ht="15.75" customHeight="1">
      <c r="C65" s="925"/>
      <c r="D65" s="789"/>
      <c r="E65" s="789"/>
      <c r="F65" s="789"/>
      <c r="G65" s="789"/>
      <c r="H65" s="789"/>
      <c r="I65" s="789"/>
      <c r="K65" s="789"/>
      <c r="L65" s="789"/>
      <c r="M65" s="789"/>
      <c r="N65" s="789"/>
      <c r="O65" s="789"/>
      <c r="P65" s="789"/>
      <c r="Q65" s="789"/>
      <c r="R65" s="746" t="s">
        <v>2</v>
      </c>
      <c r="S65" s="747"/>
      <c r="T65" s="747"/>
      <c r="U65" s="747"/>
      <c r="V65" s="747"/>
      <c r="W65" s="747"/>
      <c r="X65" s="747"/>
      <c r="Y65" s="786" t="s">
        <v>2</v>
      </c>
      <c r="Z65" s="786"/>
      <c r="AA65" s="640"/>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39"/>
      <c r="AY65" s="639"/>
      <c r="AZ65" s="639"/>
      <c r="BA65" s="639"/>
      <c r="BB65" s="639"/>
      <c r="BC65" s="639"/>
      <c r="BD65" s="639"/>
      <c r="BE65" s="639"/>
      <c r="BF65" s="639"/>
      <c r="BG65" s="639"/>
      <c r="BH65" s="639"/>
    </row>
    <row r="66" spans="3:60" s="635" customFormat="1" ht="15.75" customHeight="1">
      <c r="C66" s="925"/>
      <c r="D66" s="789"/>
      <c r="E66" s="789"/>
      <c r="F66" s="789"/>
      <c r="G66" s="789"/>
      <c r="H66" s="789"/>
      <c r="I66" s="789"/>
      <c r="K66" s="789"/>
      <c r="L66" s="789"/>
      <c r="M66" s="789"/>
      <c r="N66" s="789"/>
      <c r="O66" s="789"/>
      <c r="P66" s="789"/>
      <c r="Q66" s="789"/>
      <c r="R66" s="746" t="s">
        <v>2</v>
      </c>
      <c r="S66" s="747"/>
      <c r="T66" s="747"/>
      <c r="U66" s="747"/>
      <c r="V66" s="747"/>
      <c r="W66" s="747"/>
      <c r="X66" s="747"/>
      <c r="Y66" s="786" t="s">
        <v>2</v>
      </c>
      <c r="Z66" s="786"/>
      <c r="AA66" s="640"/>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639"/>
      <c r="BE66" s="639"/>
      <c r="BF66" s="639"/>
      <c r="BG66" s="639"/>
      <c r="BH66" s="639"/>
    </row>
    <row r="67" spans="3:60" s="635" customFormat="1" ht="15.75" customHeight="1">
      <c r="C67" s="925"/>
      <c r="D67" s="789"/>
      <c r="E67" s="789"/>
      <c r="F67" s="789"/>
      <c r="G67" s="789"/>
      <c r="H67" s="789"/>
      <c r="I67" s="789"/>
      <c r="K67" s="789"/>
      <c r="L67" s="789"/>
      <c r="M67" s="789"/>
      <c r="N67" s="789"/>
      <c r="O67" s="789"/>
      <c r="P67" s="789"/>
      <c r="Q67" s="789"/>
      <c r="R67" s="746" t="s">
        <v>2</v>
      </c>
      <c r="S67" s="747"/>
      <c r="T67" s="747"/>
      <c r="U67" s="747"/>
      <c r="V67" s="747"/>
      <c r="W67" s="747"/>
      <c r="X67" s="747"/>
      <c r="Y67" s="786" t="s">
        <v>2</v>
      </c>
      <c r="Z67" s="786"/>
      <c r="AA67" s="640"/>
      <c r="AB67" s="639"/>
      <c r="AC67" s="639"/>
      <c r="AD67" s="639"/>
      <c r="AE67" s="639"/>
      <c r="AF67" s="639"/>
      <c r="AG67" s="639"/>
      <c r="AH67" s="639"/>
      <c r="AI67" s="639"/>
      <c r="AJ67" s="639"/>
      <c r="AK67" s="639"/>
      <c r="AL67" s="639"/>
      <c r="AM67" s="639"/>
      <c r="AN67" s="639"/>
      <c r="AO67" s="639"/>
      <c r="AP67" s="639"/>
      <c r="AQ67" s="639"/>
      <c r="AR67" s="639"/>
      <c r="AS67" s="639"/>
      <c r="AT67" s="639"/>
      <c r="AU67" s="639"/>
      <c r="AV67" s="639"/>
      <c r="AW67" s="639"/>
      <c r="AX67" s="639"/>
      <c r="AY67" s="639"/>
      <c r="AZ67" s="639"/>
      <c r="BA67" s="639"/>
      <c r="BB67" s="639"/>
      <c r="BC67" s="639"/>
      <c r="BD67" s="639"/>
      <c r="BE67" s="639"/>
      <c r="BF67" s="639"/>
      <c r="BG67" s="639"/>
      <c r="BH67" s="639"/>
    </row>
    <row r="68" spans="3:60" s="635" customFormat="1" ht="15.75" customHeight="1">
      <c r="C68" s="925"/>
      <c r="D68" s="789"/>
      <c r="E68" s="789"/>
      <c r="F68" s="789"/>
      <c r="G68" s="789"/>
      <c r="H68" s="789"/>
      <c r="I68" s="789"/>
      <c r="K68" s="789"/>
      <c r="L68" s="789"/>
      <c r="M68" s="789"/>
      <c r="N68" s="789"/>
      <c r="O68" s="789"/>
      <c r="P68" s="789"/>
      <c r="Q68" s="789"/>
      <c r="R68" s="746" t="s">
        <v>2</v>
      </c>
      <c r="S68" s="747"/>
      <c r="T68" s="747"/>
      <c r="U68" s="747"/>
      <c r="V68" s="747"/>
      <c r="W68" s="747"/>
      <c r="X68" s="747"/>
      <c r="Y68" s="786" t="s">
        <v>2</v>
      </c>
      <c r="Z68" s="786"/>
      <c r="AA68" s="640"/>
      <c r="AB68" s="639"/>
      <c r="AC68" s="639"/>
      <c r="AD68" s="639"/>
      <c r="AE68" s="639"/>
      <c r="AF68" s="639"/>
      <c r="AG68" s="639"/>
      <c r="AH68" s="639"/>
      <c r="AI68" s="639"/>
      <c r="AJ68" s="639"/>
      <c r="AK68" s="639"/>
      <c r="AL68" s="639"/>
      <c r="AM68" s="639"/>
      <c r="AN68" s="639"/>
      <c r="AO68" s="639"/>
      <c r="AP68" s="639"/>
      <c r="AQ68" s="639"/>
      <c r="AR68" s="639"/>
      <c r="AS68" s="639"/>
      <c r="AT68" s="639"/>
      <c r="AU68" s="639"/>
      <c r="AV68" s="639"/>
      <c r="AW68" s="639"/>
      <c r="AX68" s="639"/>
      <c r="AY68" s="639"/>
      <c r="AZ68" s="639"/>
      <c r="BA68" s="639"/>
      <c r="BB68" s="639"/>
      <c r="BC68" s="639"/>
      <c r="BD68" s="639"/>
      <c r="BE68" s="639"/>
      <c r="BF68" s="639"/>
      <c r="BG68" s="639"/>
      <c r="BH68" s="639"/>
    </row>
    <row r="69" spans="3:60" s="635" customFormat="1" ht="15.75" customHeight="1">
      <c r="C69" s="925"/>
      <c r="D69" s="789"/>
      <c r="E69" s="789"/>
      <c r="F69" s="789"/>
      <c r="G69" s="789"/>
      <c r="H69" s="789"/>
      <c r="I69" s="789"/>
      <c r="K69" s="789"/>
      <c r="L69" s="789"/>
      <c r="M69" s="789"/>
      <c r="N69" s="789"/>
      <c r="O69" s="789"/>
      <c r="P69" s="789"/>
      <c r="Q69" s="789"/>
      <c r="R69" s="746" t="s">
        <v>2</v>
      </c>
      <c r="S69" s="747"/>
      <c r="T69" s="747"/>
      <c r="U69" s="747"/>
      <c r="V69" s="747"/>
      <c r="W69" s="747"/>
      <c r="X69" s="747"/>
      <c r="Y69" s="786" t="s">
        <v>2</v>
      </c>
      <c r="Z69" s="786"/>
      <c r="AA69" s="640"/>
      <c r="AB69" s="639"/>
      <c r="AC69" s="639"/>
      <c r="AD69" s="639"/>
      <c r="AE69" s="639"/>
      <c r="AF69" s="639"/>
      <c r="AG69" s="639"/>
      <c r="AH69" s="639"/>
      <c r="AI69" s="639"/>
      <c r="AJ69" s="639"/>
      <c r="AK69" s="639"/>
      <c r="AL69" s="639"/>
      <c r="AM69" s="639"/>
      <c r="AN69" s="639"/>
      <c r="AO69" s="639"/>
      <c r="AP69" s="639"/>
      <c r="AQ69" s="639"/>
      <c r="AR69" s="639"/>
      <c r="AS69" s="639"/>
      <c r="AT69" s="639"/>
      <c r="AU69" s="639"/>
      <c r="AV69" s="639"/>
      <c r="AW69" s="639"/>
      <c r="AX69" s="639"/>
      <c r="AY69" s="639"/>
      <c r="AZ69" s="639"/>
      <c r="BA69" s="639"/>
      <c r="BB69" s="639"/>
      <c r="BC69" s="639"/>
      <c r="BD69" s="639"/>
      <c r="BE69" s="639"/>
      <c r="BF69" s="639"/>
      <c r="BG69" s="639"/>
      <c r="BH69" s="639"/>
    </row>
    <row r="70" spans="3:60" s="635" customFormat="1" ht="15.75" customHeight="1">
      <c r="C70" s="925"/>
      <c r="D70" s="789"/>
      <c r="E70" s="789"/>
      <c r="F70" s="789"/>
      <c r="G70" s="789"/>
      <c r="H70" s="789"/>
      <c r="I70" s="789"/>
      <c r="K70" s="789"/>
      <c r="L70" s="789"/>
      <c r="M70" s="789"/>
      <c r="N70" s="789"/>
      <c r="O70" s="789"/>
      <c r="P70" s="789"/>
      <c r="Q70" s="789"/>
      <c r="R70" s="746" t="s">
        <v>2</v>
      </c>
      <c r="S70" s="747"/>
      <c r="T70" s="747"/>
      <c r="U70" s="747"/>
      <c r="V70" s="747"/>
      <c r="W70" s="747"/>
      <c r="X70" s="747"/>
      <c r="Y70" s="786" t="s">
        <v>2</v>
      </c>
      <c r="Z70" s="786"/>
      <c r="AA70" s="640"/>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row>
    <row r="71" spans="3:60" s="635" customFormat="1" ht="15.75" customHeight="1">
      <c r="C71" s="925"/>
      <c r="D71" s="789"/>
      <c r="E71" s="789"/>
      <c r="F71" s="789"/>
      <c r="G71" s="789"/>
      <c r="H71" s="789"/>
      <c r="I71" s="789"/>
      <c r="K71" s="789"/>
      <c r="L71" s="789"/>
      <c r="M71" s="789"/>
      <c r="N71" s="789"/>
      <c r="O71" s="789"/>
      <c r="P71" s="789"/>
      <c r="Q71" s="789"/>
      <c r="R71" s="746" t="s">
        <v>2</v>
      </c>
      <c r="S71" s="747"/>
      <c r="T71" s="747"/>
      <c r="U71" s="747"/>
      <c r="V71" s="747"/>
      <c r="W71" s="747"/>
      <c r="X71" s="747"/>
      <c r="Y71" s="786" t="s">
        <v>2</v>
      </c>
      <c r="Z71" s="786"/>
      <c r="AA71" s="640"/>
      <c r="AB71" s="639"/>
      <c r="AC71" s="639"/>
      <c r="AD71" s="639"/>
      <c r="AE71" s="639"/>
      <c r="AF71" s="639"/>
      <c r="AG71" s="639"/>
      <c r="AH71" s="639"/>
      <c r="AI71" s="639"/>
      <c r="AJ71" s="639"/>
      <c r="AK71" s="639"/>
      <c r="AL71" s="639"/>
      <c r="AM71" s="639"/>
      <c r="AN71" s="639"/>
      <c r="AO71" s="639"/>
      <c r="AP71" s="639"/>
      <c r="AQ71" s="639"/>
      <c r="AR71" s="639"/>
      <c r="AS71" s="639"/>
      <c r="AT71" s="639"/>
      <c r="AU71" s="639"/>
      <c r="AV71" s="639"/>
      <c r="AW71" s="639"/>
      <c r="AX71" s="639"/>
      <c r="AY71" s="639"/>
      <c r="AZ71" s="639"/>
      <c r="BA71" s="639"/>
      <c r="BB71" s="639"/>
      <c r="BC71" s="639"/>
      <c r="BD71" s="639"/>
      <c r="BE71" s="639"/>
      <c r="BF71" s="639"/>
      <c r="BG71" s="639"/>
      <c r="BH71" s="639"/>
    </row>
    <row r="72" spans="3:60" s="635" customFormat="1" ht="15.75" customHeight="1">
      <c r="C72" s="925"/>
      <c r="D72" s="789"/>
      <c r="E72" s="789"/>
      <c r="F72" s="789"/>
      <c r="G72" s="789"/>
      <c r="H72" s="789"/>
      <c r="I72" s="789"/>
      <c r="K72" s="789"/>
      <c r="L72" s="789"/>
      <c r="M72" s="789"/>
      <c r="N72" s="789"/>
      <c r="O72" s="789"/>
      <c r="P72" s="789"/>
      <c r="Q72" s="789"/>
      <c r="R72" s="746" t="s">
        <v>2</v>
      </c>
      <c r="S72" s="747"/>
      <c r="T72" s="747"/>
      <c r="U72" s="747"/>
      <c r="V72" s="747"/>
      <c r="W72" s="747"/>
      <c r="X72" s="747"/>
      <c r="Y72" s="786" t="s">
        <v>2</v>
      </c>
      <c r="Z72" s="786"/>
      <c r="AA72" s="640"/>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row>
    <row r="73" spans="3:60" s="635" customFormat="1" ht="15.75" customHeight="1">
      <c r="C73" s="925"/>
      <c r="D73" s="789"/>
      <c r="E73" s="789"/>
      <c r="F73" s="789"/>
      <c r="G73" s="789"/>
      <c r="H73" s="789"/>
      <c r="I73" s="789"/>
      <c r="K73" s="789"/>
      <c r="L73" s="789"/>
      <c r="M73" s="789"/>
      <c r="N73" s="789"/>
      <c r="O73" s="789"/>
      <c r="P73" s="789"/>
      <c r="Q73" s="789"/>
      <c r="R73" s="746" t="s">
        <v>2</v>
      </c>
      <c r="S73" s="747"/>
      <c r="T73" s="747"/>
      <c r="U73" s="747"/>
      <c r="V73" s="747"/>
      <c r="W73" s="747"/>
      <c r="X73" s="747"/>
      <c r="Y73" s="786" t="s">
        <v>2</v>
      </c>
      <c r="Z73" s="786"/>
      <c r="AA73" s="640"/>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row>
    <row r="74" spans="3:60" s="635" customFormat="1" ht="15.75" customHeight="1">
      <c r="C74" s="925"/>
      <c r="D74" s="789"/>
      <c r="E74" s="789"/>
      <c r="F74" s="789"/>
      <c r="G74" s="789"/>
      <c r="H74" s="789"/>
      <c r="I74" s="789"/>
      <c r="K74" s="789"/>
      <c r="L74" s="789"/>
      <c r="M74" s="789"/>
      <c r="N74" s="789"/>
      <c r="O74" s="789"/>
      <c r="P74" s="789"/>
      <c r="Q74" s="789"/>
      <c r="R74" s="746" t="s">
        <v>2</v>
      </c>
      <c r="S74" s="747"/>
      <c r="T74" s="747"/>
      <c r="U74" s="747"/>
      <c r="V74" s="747"/>
      <c r="W74" s="747"/>
      <c r="X74" s="747"/>
      <c r="Y74" s="786" t="s">
        <v>2</v>
      </c>
      <c r="Z74" s="786"/>
      <c r="AA74" s="640"/>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row>
    <row r="75" spans="3:60" s="635" customFormat="1" ht="15.75" customHeight="1">
      <c r="C75" s="925"/>
      <c r="D75" s="789"/>
      <c r="E75" s="789"/>
      <c r="F75" s="789"/>
      <c r="G75" s="789"/>
      <c r="H75" s="789"/>
      <c r="I75" s="789"/>
      <c r="K75" s="789"/>
      <c r="L75" s="789"/>
      <c r="M75" s="789"/>
      <c r="N75" s="789"/>
      <c r="O75" s="789"/>
      <c r="P75" s="789"/>
      <c r="Q75" s="789"/>
      <c r="R75" s="746" t="s">
        <v>2</v>
      </c>
      <c r="S75" s="747"/>
      <c r="T75" s="747"/>
      <c r="U75" s="747"/>
      <c r="V75" s="747"/>
      <c r="W75" s="747"/>
      <c r="X75" s="747"/>
      <c r="Y75" s="786" t="s">
        <v>2</v>
      </c>
      <c r="Z75" s="786"/>
      <c r="AA75" s="640"/>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row>
    <row r="76" spans="3:60" s="635" customFormat="1" ht="15.75" customHeight="1">
      <c r="C76" s="925"/>
      <c r="D76" s="789"/>
      <c r="E76" s="789"/>
      <c r="F76" s="789"/>
      <c r="G76" s="789"/>
      <c r="H76" s="789"/>
      <c r="I76" s="789"/>
      <c r="K76" s="789"/>
      <c r="L76" s="789"/>
      <c r="M76" s="789"/>
      <c r="N76" s="789"/>
      <c r="O76" s="789"/>
      <c r="P76" s="789"/>
      <c r="Q76" s="789"/>
      <c r="R76" s="746" t="s">
        <v>2</v>
      </c>
      <c r="S76" s="747"/>
      <c r="T76" s="747"/>
      <c r="U76" s="747"/>
      <c r="V76" s="747"/>
      <c r="W76" s="747"/>
      <c r="X76" s="747"/>
      <c r="Y76" s="786" t="s">
        <v>2</v>
      </c>
      <c r="Z76" s="786"/>
      <c r="AA76" s="640"/>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39"/>
      <c r="AY76" s="639"/>
      <c r="AZ76" s="639"/>
      <c r="BA76" s="639"/>
      <c r="BB76" s="639"/>
      <c r="BC76" s="639"/>
      <c r="BD76" s="639"/>
      <c r="BE76" s="639"/>
      <c r="BF76" s="639"/>
      <c r="BG76" s="639"/>
      <c r="BH76" s="639"/>
    </row>
    <row r="77" spans="3:60" s="635" customFormat="1" ht="15.75" customHeight="1">
      <c r="C77" s="925"/>
      <c r="D77" s="789"/>
      <c r="E77" s="789"/>
      <c r="F77" s="789"/>
      <c r="G77" s="789"/>
      <c r="H77" s="789"/>
      <c r="I77" s="789"/>
      <c r="K77" s="789"/>
      <c r="L77" s="789"/>
      <c r="M77" s="789"/>
      <c r="N77" s="789"/>
      <c r="O77" s="789"/>
      <c r="P77" s="789"/>
      <c r="Q77" s="789"/>
      <c r="R77" s="746" t="s">
        <v>2</v>
      </c>
      <c r="S77" s="747"/>
      <c r="T77" s="747"/>
      <c r="U77" s="747"/>
      <c r="V77" s="747"/>
      <c r="W77" s="747"/>
      <c r="X77" s="747"/>
      <c r="Y77" s="786" t="s">
        <v>2</v>
      </c>
      <c r="Z77" s="786"/>
      <c r="AA77" s="640"/>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9"/>
      <c r="BB77" s="639"/>
      <c r="BC77" s="639"/>
      <c r="BD77" s="639"/>
      <c r="BE77" s="639"/>
      <c r="BF77" s="639"/>
      <c r="BG77" s="639"/>
      <c r="BH77" s="639"/>
    </row>
    <row r="78" spans="3:60" s="635" customFormat="1" ht="15.75" customHeight="1">
      <c r="C78" s="925"/>
      <c r="D78" s="789"/>
      <c r="E78" s="789"/>
      <c r="F78" s="789"/>
      <c r="G78" s="789"/>
      <c r="H78" s="789"/>
      <c r="I78" s="789"/>
      <c r="K78" s="789"/>
      <c r="L78" s="789"/>
      <c r="M78" s="789"/>
      <c r="N78" s="789"/>
      <c r="O78" s="789"/>
      <c r="P78" s="789"/>
      <c r="Q78" s="789"/>
      <c r="R78" s="746" t="s">
        <v>2</v>
      </c>
      <c r="S78" s="747"/>
      <c r="T78" s="747"/>
      <c r="U78" s="747"/>
      <c r="V78" s="747"/>
      <c r="W78" s="747"/>
      <c r="X78" s="747"/>
      <c r="Y78" s="786" t="s">
        <v>2</v>
      </c>
      <c r="Z78" s="786"/>
      <c r="AA78" s="640"/>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39"/>
      <c r="BA78" s="639"/>
      <c r="BB78" s="639"/>
      <c r="BC78" s="639"/>
      <c r="BD78" s="639"/>
      <c r="BE78" s="639"/>
      <c r="BF78" s="639"/>
      <c r="BG78" s="639"/>
      <c r="BH78" s="639"/>
    </row>
    <row r="79" spans="3:60" s="635" customFormat="1" ht="15.75" customHeight="1">
      <c r="C79" s="925"/>
      <c r="D79" s="789"/>
      <c r="E79" s="789"/>
      <c r="F79" s="789"/>
      <c r="G79" s="789"/>
      <c r="H79" s="789"/>
      <c r="I79" s="789"/>
      <c r="K79" s="789"/>
      <c r="L79" s="789"/>
      <c r="M79" s="789"/>
      <c r="N79" s="789"/>
      <c r="O79" s="789"/>
      <c r="P79" s="789"/>
      <c r="Q79" s="789"/>
      <c r="R79" s="746" t="s">
        <v>2</v>
      </c>
      <c r="S79" s="747"/>
      <c r="T79" s="747"/>
      <c r="U79" s="747"/>
      <c r="V79" s="747"/>
      <c r="W79" s="747"/>
      <c r="X79" s="747"/>
      <c r="Y79" s="786" t="s">
        <v>2</v>
      </c>
      <c r="Z79" s="786"/>
      <c r="AA79" s="640"/>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639"/>
      <c r="AZ79" s="639"/>
      <c r="BA79" s="639"/>
      <c r="BB79" s="639"/>
      <c r="BC79" s="639"/>
      <c r="BD79" s="639"/>
      <c r="BE79" s="639"/>
      <c r="BF79" s="639"/>
      <c r="BG79" s="639"/>
      <c r="BH79" s="639"/>
    </row>
    <row r="80" spans="3:60" s="635" customFormat="1" ht="15.75" customHeight="1">
      <c r="C80" s="925"/>
      <c r="D80" s="789"/>
      <c r="E80" s="789"/>
      <c r="F80" s="789"/>
      <c r="G80" s="789"/>
      <c r="H80" s="789"/>
      <c r="I80" s="789"/>
      <c r="K80" s="789"/>
      <c r="L80" s="789"/>
      <c r="M80" s="789"/>
      <c r="N80" s="789"/>
      <c r="O80" s="789"/>
      <c r="P80" s="789"/>
      <c r="Q80" s="789"/>
      <c r="R80" s="746" t="s">
        <v>2</v>
      </c>
      <c r="S80" s="747"/>
      <c r="T80" s="747"/>
      <c r="U80" s="747"/>
      <c r="V80" s="747"/>
      <c r="W80" s="747"/>
      <c r="X80" s="747"/>
      <c r="Y80" s="786" t="s">
        <v>2</v>
      </c>
      <c r="Z80" s="786"/>
      <c r="AA80" s="640"/>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39"/>
      <c r="BA80" s="639"/>
      <c r="BB80" s="639"/>
      <c r="BC80" s="639"/>
      <c r="BD80" s="639"/>
      <c r="BE80" s="639"/>
      <c r="BF80" s="639"/>
      <c r="BG80" s="639"/>
      <c r="BH80" s="639"/>
    </row>
    <row r="81" spans="3:60" s="635" customFormat="1" ht="15.75" customHeight="1">
      <c r="C81" s="925"/>
      <c r="D81" s="789"/>
      <c r="E81" s="789"/>
      <c r="F81" s="789"/>
      <c r="G81" s="789"/>
      <c r="H81" s="789"/>
      <c r="I81" s="789"/>
      <c r="K81" s="789"/>
      <c r="L81" s="789"/>
      <c r="M81" s="789"/>
      <c r="N81" s="789"/>
      <c r="O81" s="789"/>
      <c r="P81" s="789"/>
      <c r="Q81" s="789"/>
      <c r="R81" s="746" t="s">
        <v>2</v>
      </c>
      <c r="S81" s="747"/>
      <c r="T81" s="747"/>
      <c r="U81" s="747"/>
      <c r="V81" s="747"/>
      <c r="W81" s="747"/>
      <c r="X81" s="747"/>
      <c r="Y81" s="786" t="s">
        <v>2</v>
      </c>
      <c r="Z81" s="786"/>
      <c r="AA81" s="640"/>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c r="BA81" s="639"/>
      <c r="BB81" s="639"/>
      <c r="BC81" s="639"/>
      <c r="BD81" s="639"/>
      <c r="BE81" s="639"/>
      <c r="BF81" s="639"/>
      <c r="BG81" s="639"/>
      <c r="BH81" s="639"/>
    </row>
    <row r="82" spans="3:60" s="635" customFormat="1" ht="15.75" customHeight="1">
      <c r="C82" s="925"/>
      <c r="D82" s="789"/>
      <c r="E82" s="789"/>
      <c r="F82" s="789"/>
      <c r="G82" s="789"/>
      <c r="H82" s="789"/>
      <c r="I82" s="789"/>
      <c r="K82" s="789"/>
      <c r="L82" s="789"/>
      <c r="M82" s="789"/>
      <c r="N82" s="789"/>
      <c r="O82" s="789"/>
      <c r="P82" s="789"/>
      <c r="Q82" s="789"/>
      <c r="R82" s="746" t="s">
        <v>2</v>
      </c>
      <c r="S82" s="747"/>
      <c r="T82" s="747"/>
      <c r="U82" s="747"/>
      <c r="V82" s="747"/>
      <c r="W82" s="747"/>
      <c r="X82" s="747"/>
      <c r="Y82" s="786" t="s">
        <v>2</v>
      </c>
      <c r="Z82" s="786"/>
      <c r="AA82" s="640"/>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39"/>
      <c r="BA82" s="639"/>
      <c r="BB82" s="639"/>
      <c r="BC82" s="639"/>
      <c r="BD82" s="639"/>
      <c r="BE82" s="639"/>
      <c r="BF82" s="639"/>
      <c r="BG82" s="639"/>
      <c r="BH82" s="639"/>
    </row>
    <row r="83" spans="3:60" s="635" customFormat="1" ht="15.75" customHeight="1">
      <c r="C83" s="925"/>
      <c r="D83" s="789"/>
      <c r="E83" s="789"/>
      <c r="F83" s="789"/>
      <c r="G83" s="789"/>
      <c r="H83" s="789"/>
      <c r="I83" s="789"/>
      <c r="K83" s="789"/>
      <c r="L83" s="789"/>
      <c r="M83" s="789"/>
      <c r="N83" s="789"/>
      <c r="O83" s="789"/>
      <c r="P83" s="789"/>
      <c r="Q83" s="789"/>
      <c r="R83" s="746" t="s">
        <v>2</v>
      </c>
      <c r="S83" s="747"/>
      <c r="T83" s="747"/>
      <c r="U83" s="747"/>
      <c r="V83" s="747"/>
      <c r="W83" s="747"/>
      <c r="X83" s="747"/>
      <c r="Y83" s="786" t="s">
        <v>2</v>
      </c>
      <c r="Z83" s="786"/>
      <c r="AA83" s="640"/>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39"/>
      <c r="BF83" s="639"/>
      <c r="BG83" s="639"/>
      <c r="BH83" s="639"/>
    </row>
    <row r="84" spans="3:60" s="635" customFormat="1" ht="15.75" customHeight="1">
      <c r="C84" s="925"/>
      <c r="D84" s="789"/>
      <c r="E84" s="789"/>
      <c r="F84" s="789"/>
      <c r="G84" s="789"/>
      <c r="H84" s="789"/>
      <c r="I84" s="789"/>
      <c r="K84" s="789"/>
      <c r="L84" s="789"/>
      <c r="M84" s="789"/>
      <c r="N84" s="789"/>
      <c r="O84" s="789"/>
      <c r="P84" s="789"/>
      <c r="Q84" s="789"/>
      <c r="R84" s="746" t="s">
        <v>2</v>
      </c>
      <c r="S84" s="747"/>
      <c r="T84" s="747"/>
      <c r="U84" s="747"/>
      <c r="V84" s="747"/>
      <c r="W84" s="747"/>
      <c r="X84" s="747"/>
      <c r="Y84" s="786" t="s">
        <v>2</v>
      </c>
      <c r="Z84" s="786"/>
      <c r="AA84" s="640"/>
      <c r="AB84" s="639"/>
      <c r="AC84" s="639"/>
      <c r="AD84" s="639"/>
      <c r="AE84" s="639"/>
      <c r="AF84" s="639"/>
      <c r="AG84" s="639"/>
      <c r="AH84" s="639"/>
      <c r="AI84" s="639"/>
      <c r="AJ84" s="639"/>
      <c r="AK84" s="639"/>
      <c r="AL84" s="639"/>
      <c r="AM84" s="639"/>
      <c r="AN84" s="639"/>
      <c r="AO84" s="639"/>
      <c r="AP84" s="639"/>
      <c r="AQ84" s="639"/>
      <c r="AR84" s="639"/>
      <c r="AS84" s="639"/>
      <c r="AT84" s="639"/>
      <c r="AU84" s="639"/>
      <c r="AV84" s="639"/>
      <c r="AW84" s="639"/>
      <c r="AX84" s="639"/>
      <c r="AY84" s="639"/>
      <c r="AZ84" s="639"/>
      <c r="BA84" s="639"/>
      <c r="BB84" s="639"/>
      <c r="BC84" s="639"/>
      <c r="BD84" s="639"/>
      <c r="BE84" s="639"/>
      <c r="BF84" s="639"/>
      <c r="BG84" s="639"/>
      <c r="BH84" s="639"/>
    </row>
    <row r="85" spans="3:60" s="635" customFormat="1" ht="15.75" customHeight="1">
      <c r="C85" s="925"/>
      <c r="D85" s="789"/>
      <c r="E85" s="789"/>
      <c r="F85" s="789"/>
      <c r="G85" s="789"/>
      <c r="H85" s="789"/>
      <c r="I85" s="789"/>
      <c r="K85" s="789"/>
      <c r="L85" s="789"/>
      <c r="M85" s="789"/>
      <c r="N85" s="789"/>
      <c r="O85" s="789"/>
      <c r="P85" s="789"/>
      <c r="Q85" s="789"/>
      <c r="R85" s="746" t="s">
        <v>2</v>
      </c>
      <c r="S85" s="747"/>
      <c r="T85" s="747"/>
      <c r="U85" s="747"/>
      <c r="V85" s="747"/>
      <c r="W85" s="747"/>
      <c r="X85" s="747"/>
      <c r="Y85" s="786" t="s">
        <v>2</v>
      </c>
      <c r="Z85" s="786"/>
      <c r="AA85" s="640"/>
      <c r="AB85" s="639"/>
      <c r="AC85" s="639"/>
      <c r="AD85" s="639"/>
      <c r="AE85" s="639"/>
      <c r="AF85" s="639"/>
      <c r="AG85" s="639"/>
      <c r="AH85" s="639"/>
      <c r="AI85" s="639"/>
      <c r="AJ85" s="639"/>
      <c r="AK85" s="639"/>
      <c r="AL85" s="639"/>
      <c r="AM85" s="639"/>
      <c r="AN85" s="639"/>
      <c r="AO85" s="639"/>
      <c r="AP85" s="639"/>
      <c r="AQ85" s="639"/>
      <c r="AR85" s="639"/>
      <c r="AS85" s="639"/>
      <c r="AT85" s="639"/>
      <c r="AU85" s="639"/>
      <c r="AV85" s="639"/>
      <c r="AW85" s="639"/>
      <c r="AX85" s="639"/>
      <c r="AY85" s="639"/>
      <c r="AZ85" s="639"/>
      <c r="BA85" s="639"/>
      <c r="BB85" s="639"/>
      <c r="BC85" s="639"/>
      <c r="BD85" s="639"/>
      <c r="BE85" s="639"/>
      <c r="BF85" s="639"/>
      <c r="BG85" s="639"/>
      <c r="BH85" s="639"/>
    </row>
    <row r="86" spans="3:60" s="635" customFormat="1" ht="15.75" customHeight="1">
      <c r="C86" s="925"/>
      <c r="D86" s="789"/>
      <c r="E86" s="789"/>
      <c r="F86" s="789"/>
      <c r="G86" s="789"/>
      <c r="H86" s="789"/>
      <c r="I86" s="789"/>
      <c r="K86" s="789"/>
      <c r="L86" s="789"/>
      <c r="M86" s="789"/>
      <c r="N86" s="789"/>
      <c r="O86" s="789"/>
      <c r="P86" s="789"/>
      <c r="Q86" s="789"/>
      <c r="R86" s="746" t="s">
        <v>2</v>
      </c>
      <c r="S86" s="747"/>
      <c r="T86" s="747"/>
      <c r="U86" s="747"/>
      <c r="V86" s="747"/>
      <c r="W86" s="747"/>
      <c r="X86" s="747"/>
      <c r="Y86" s="786" t="s">
        <v>2</v>
      </c>
      <c r="Z86" s="786"/>
      <c r="AA86" s="640"/>
      <c r="AB86" s="639"/>
      <c r="AC86" s="639"/>
      <c r="AD86" s="639"/>
      <c r="AE86" s="639"/>
      <c r="AF86" s="639"/>
      <c r="AG86" s="639"/>
      <c r="AH86" s="639"/>
      <c r="AI86" s="639"/>
      <c r="AJ86" s="639"/>
      <c r="AK86" s="639"/>
      <c r="AL86" s="639"/>
      <c r="AM86" s="639"/>
      <c r="AN86" s="639"/>
      <c r="AO86" s="639"/>
      <c r="AP86" s="639"/>
      <c r="AQ86" s="639"/>
      <c r="AR86" s="639"/>
      <c r="AS86" s="639"/>
      <c r="AT86" s="639"/>
      <c r="AU86" s="639"/>
      <c r="AV86" s="639"/>
      <c r="AW86" s="639"/>
      <c r="AX86" s="639"/>
      <c r="AY86" s="639"/>
      <c r="AZ86" s="639"/>
      <c r="BA86" s="639"/>
      <c r="BB86" s="639"/>
      <c r="BC86" s="639"/>
      <c r="BD86" s="639"/>
      <c r="BE86" s="639"/>
      <c r="BF86" s="639"/>
      <c r="BG86" s="639"/>
      <c r="BH86" s="639"/>
    </row>
    <row r="87" spans="3:60" s="635" customFormat="1" ht="15.75" customHeight="1">
      <c r="C87" s="789" t="s">
        <v>2</v>
      </c>
      <c r="D87" s="789"/>
      <c r="E87" s="789"/>
      <c r="F87" s="789"/>
      <c r="G87" s="789"/>
      <c r="H87" s="789"/>
      <c r="I87" s="789"/>
      <c r="K87" s="789"/>
      <c r="L87" s="789"/>
      <c r="M87" s="789"/>
      <c r="N87" s="789"/>
      <c r="O87" s="789"/>
      <c r="P87" s="789"/>
      <c r="Q87" s="789"/>
      <c r="R87" s="747"/>
      <c r="S87" s="747"/>
      <c r="T87" s="747"/>
      <c r="U87" s="747"/>
      <c r="V87" s="747"/>
      <c r="W87" s="747"/>
      <c r="X87" s="747"/>
      <c r="Y87" s="786"/>
      <c r="Z87" s="786"/>
      <c r="AA87" s="640"/>
      <c r="AB87" s="639"/>
      <c r="AC87" s="639"/>
      <c r="AD87" s="639"/>
      <c r="AE87" s="639"/>
      <c r="AF87" s="639"/>
      <c r="AG87" s="639"/>
      <c r="AH87" s="639"/>
      <c r="AI87" s="639"/>
      <c r="AJ87" s="639"/>
      <c r="AK87" s="639"/>
      <c r="AL87" s="639"/>
      <c r="AM87" s="639"/>
      <c r="AN87" s="639"/>
      <c r="AO87" s="639"/>
      <c r="AP87" s="639"/>
      <c r="AQ87" s="639"/>
      <c r="AR87" s="639"/>
      <c r="AS87" s="639"/>
      <c r="AT87" s="639"/>
      <c r="AU87" s="639"/>
      <c r="AV87" s="639"/>
      <c r="AW87" s="639"/>
      <c r="AX87" s="639"/>
      <c r="AY87" s="639"/>
      <c r="AZ87" s="639"/>
      <c r="BA87" s="639"/>
      <c r="BB87" s="639"/>
      <c r="BC87" s="639"/>
      <c r="BD87" s="639"/>
      <c r="BE87" s="639"/>
      <c r="BF87" s="639"/>
      <c r="BG87" s="639"/>
      <c r="BH87" s="639"/>
    </row>
    <row r="88" spans="3:60" s="635" customFormat="1" ht="15.75" customHeight="1">
      <c r="C88" s="789"/>
      <c r="D88" s="789"/>
      <c r="E88" s="789"/>
      <c r="F88" s="789"/>
      <c r="G88" s="789"/>
      <c r="H88" s="789"/>
      <c r="I88" s="789"/>
      <c r="K88" s="789"/>
      <c r="L88" s="789"/>
      <c r="M88" s="789"/>
      <c r="N88" s="789"/>
      <c r="O88" s="789"/>
      <c r="P88" s="789"/>
      <c r="Q88" s="789"/>
      <c r="R88" s="747"/>
      <c r="S88" s="747"/>
      <c r="T88" s="747"/>
      <c r="U88" s="747"/>
      <c r="V88" s="747"/>
      <c r="W88" s="747"/>
      <c r="X88" s="747"/>
      <c r="Y88" s="786"/>
      <c r="Z88" s="786"/>
      <c r="AA88" s="640"/>
      <c r="AB88" s="639"/>
      <c r="AC88" s="639"/>
      <c r="AD88" s="639"/>
      <c r="AE88" s="639"/>
      <c r="AF88" s="639"/>
      <c r="AG88" s="639"/>
      <c r="AH88" s="639"/>
      <c r="AI88" s="639"/>
      <c r="AJ88" s="639"/>
      <c r="AK88" s="639"/>
      <c r="AL88" s="639"/>
      <c r="AM88" s="639"/>
      <c r="AN88" s="639"/>
      <c r="AO88" s="639"/>
      <c r="AP88" s="639"/>
      <c r="AQ88" s="639"/>
      <c r="AR88" s="639"/>
      <c r="AS88" s="639"/>
      <c r="AT88" s="639"/>
      <c r="AU88" s="639"/>
      <c r="AV88" s="639"/>
      <c r="AW88" s="639"/>
      <c r="AX88" s="639"/>
      <c r="AY88" s="639"/>
      <c r="AZ88" s="639"/>
      <c r="BA88" s="639"/>
      <c r="BB88" s="639"/>
      <c r="BC88" s="639"/>
      <c r="BD88" s="639"/>
      <c r="BE88" s="639"/>
      <c r="BF88" s="639"/>
      <c r="BG88" s="639"/>
      <c r="BH88" s="639"/>
    </row>
    <row r="89" spans="3:60" s="635" customFormat="1" ht="15.75" customHeight="1">
      <c r="C89" s="789"/>
      <c r="D89" s="789"/>
      <c r="E89" s="789"/>
      <c r="F89" s="789"/>
      <c r="G89" s="789"/>
      <c r="H89" s="789"/>
      <c r="I89" s="789"/>
      <c r="K89" s="789"/>
      <c r="L89" s="789"/>
      <c r="M89" s="789"/>
      <c r="N89" s="789"/>
      <c r="O89" s="789"/>
      <c r="P89" s="789"/>
      <c r="Q89" s="789"/>
      <c r="R89" s="747"/>
      <c r="S89" s="747"/>
      <c r="T89" s="747"/>
      <c r="U89" s="747"/>
      <c r="V89" s="747"/>
      <c r="W89" s="747"/>
      <c r="X89" s="747"/>
      <c r="Y89" s="786"/>
      <c r="Z89" s="786"/>
      <c r="AA89" s="640"/>
      <c r="AB89" s="639"/>
      <c r="AC89" s="639"/>
      <c r="AD89" s="639"/>
      <c r="AE89" s="639"/>
      <c r="AF89" s="639"/>
      <c r="AG89" s="639"/>
      <c r="AH89" s="639"/>
      <c r="AI89" s="639"/>
      <c r="AJ89" s="639"/>
      <c r="AK89" s="639"/>
      <c r="AL89" s="639"/>
      <c r="AM89" s="639"/>
      <c r="AN89" s="639"/>
      <c r="AO89" s="639"/>
      <c r="AP89" s="639"/>
      <c r="AQ89" s="639"/>
      <c r="AR89" s="639"/>
      <c r="AS89" s="639"/>
      <c r="AT89" s="639"/>
      <c r="AU89" s="639"/>
      <c r="AV89" s="639"/>
      <c r="AW89" s="639"/>
      <c r="AX89" s="639"/>
      <c r="AY89" s="639"/>
      <c r="AZ89" s="639"/>
      <c r="BA89" s="639"/>
      <c r="BB89" s="639"/>
      <c r="BC89" s="639"/>
      <c r="BD89" s="639"/>
      <c r="BE89" s="639"/>
      <c r="BF89" s="639"/>
      <c r="BG89" s="639"/>
      <c r="BH89" s="639"/>
    </row>
    <row r="90" spans="3:60" s="635" customFormat="1" ht="15.75" customHeight="1">
      <c r="C90" s="924"/>
      <c r="D90" s="924"/>
      <c r="E90" s="924"/>
      <c r="F90" s="924"/>
      <c r="G90" s="924"/>
      <c r="H90" s="924"/>
      <c r="I90" s="924"/>
      <c r="K90" s="789"/>
      <c r="L90" s="789"/>
      <c r="M90" s="789"/>
      <c r="N90" s="789"/>
      <c r="O90" s="789"/>
      <c r="P90" s="789"/>
      <c r="Q90" s="789"/>
      <c r="R90" s="747"/>
      <c r="S90" s="747"/>
      <c r="T90" s="747"/>
      <c r="U90" s="747"/>
      <c r="V90" s="747"/>
      <c r="W90" s="747"/>
      <c r="X90" s="747"/>
      <c r="Y90" s="786"/>
      <c r="Z90" s="786"/>
      <c r="AA90" s="640"/>
      <c r="AB90" s="639"/>
      <c r="AC90" s="639"/>
      <c r="AD90" s="639"/>
      <c r="AE90" s="639"/>
      <c r="AF90" s="639"/>
      <c r="AG90" s="639"/>
      <c r="AH90" s="639"/>
      <c r="AI90" s="639"/>
      <c r="AJ90" s="639"/>
      <c r="AK90" s="639"/>
      <c r="AL90" s="639"/>
      <c r="AM90" s="639"/>
      <c r="AN90" s="639"/>
      <c r="AO90" s="639"/>
      <c r="AP90" s="639"/>
      <c r="AQ90" s="639"/>
      <c r="AR90" s="639"/>
      <c r="AS90" s="639"/>
      <c r="AT90" s="639"/>
      <c r="AU90" s="639"/>
      <c r="AV90" s="639"/>
      <c r="AW90" s="639"/>
      <c r="AX90" s="639"/>
      <c r="AY90" s="639"/>
      <c r="AZ90" s="639"/>
      <c r="BA90" s="639"/>
      <c r="BB90" s="639"/>
      <c r="BC90" s="639"/>
      <c r="BD90" s="639"/>
      <c r="BE90" s="639"/>
      <c r="BF90" s="639"/>
      <c r="BG90" s="639"/>
      <c r="BH90" s="639"/>
    </row>
    <row r="91" spans="3:60" s="635" customFormat="1" ht="7.5" customHeight="1">
      <c r="C91" s="643"/>
      <c r="D91" s="643"/>
      <c r="E91" s="643"/>
      <c r="F91" s="643"/>
      <c r="G91" s="643"/>
      <c r="H91" s="643"/>
      <c r="I91" s="643"/>
      <c r="K91" s="643"/>
      <c r="L91" s="643"/>
      <c r="M91" s="643"/>
      <c r="N91" s="643"/>
      <c r="O91" s="643"/>
      <c r="P91" s="643"/>
      <c r="Q91" s="643"/>
      <c r="R91" s="643"/>
      <c r="S91" s="643"/>
      <c r="T91" s="643"/>
      <c r="U91" s="643"/>
      <c r="V91" s="643"/>
      <c r="W91" s="643"/>
      <c r="X91" s="643"/>
      <c r="Y91" s="642"/>
      <c r="Z91" s="642"/>
      <c r="AA91" s="640"/>
      <c r="AB91" s="639"/>
      <c r="AC91" s="639"/>
      <c r="AD91" s="639"/>
      <c r="AE91" s="639"/>
      <c r="AF91" s="639"/>
      <c r="AG91" s="639"/>
      <c r="AH91" s="639"/>
      <c r="AI91" s="639"/>
      <c r="AJ91" s="639"/>
      <c r="AK91" s="639"/>
      <c r="AL91" s="639"/>
      <c r="AM91" s="639"/>
      <c r="AN91" s="639"/>
      <c r="AO91" s="639"/>
      <c r="AP91" s="639"/>
      <c r="AQ91" s="639"/>
      <c r="AR91" s="639"/>
      <c r="AS91" s="639"/>
      <c r="AT91" s="639"/>
      <c r="AU91" s="639"/>
      <c r="AV91" s="639"/>
      <c r="AW91" s="639"/>
      <c r="AX91" s="639"/>
      <c r="AY91" s="639"/>
      <c r="AZ91" s="639"/>
      <c r="BA91" s="639"/>
      <c r="BB91" s="639"/>
      <c r="BC91" s="639"/>
      <c r="BD91" s="639"/>
      <c r="BE91" s="639"/>
      <c r="BF91" s="639"/>
      <c r="BG91" s="639"/>
      <c r="BH91" s="639"/>
    </row>
    <row r="92" spans="3:60" s="635" customFormat="1" ht="12" customHeight="1">
      <c r="AA92" s="640"/>
      <c r="AB92" s="639"/>
      <c r="AC92" s="639"/>
      <c r="AD92" s="639"/>
      <c r="AE92" s="639"/>
      <c r="AF92" s="639"/>
      <c r="AG92" s="639"/>
      <c r="AH92" s="639"/>
      <c r="AI92" s="639"/>
      <c r="AJ92" s="639"/>
      <c r="AK92" s="639"/>
      <c r="AL92" s="639"/>
      <c r="AM92" s="639"/>
      <c r="AN92" s="639"/>
      <c r="AO92" s="639"/>
      <c r="AP92" s="639"/>
      <c r="AQ92" s="639"/>
      <c r="AR92" s="639"/>
      <c r="AS92" s="639"/>
      <c r="AT92" s="639"/>
      <c r="AU92" s="639"/>
      <c r="AV92" s="639"/>
      <c r="AW92" s="639"/>
      <c r="AX92" s="639"/>
      <c r="AY92" s="639"/>
      <c r="AZ92" s="639"/>
      <c r="BA92" s="639"/>
      <c r="BB92" s="639"/>
      <c r="BC92" s="639"/>
      <c r="BD92" s="639"/>
      <c r="BE92" s="639"/>
      <c r="BF92" s="639"/>
      <c r="BG92" s="639"/>
      <c r="BH92" s="639"/>
    </row>
  </sheetData>
  <sheetProtection sheet="1" objects="1" scenarios="1"/>
  <mergeCells count="183">
    <mergeCell ref="C80:I80"/>
    <mergeCell ref="K80:Q80"/>
    <mergeCell ref="R80:X80"/>
    <mergeCell ref="C72:I72"/>
    <mergeCell ref="K72:Q72"/>
    <mergeCell ref="R72:X72"/>
    <mergeCell ref="Y72:Z72"/>
    <mergeCell ref="C73:I73"/>
    <mergeCell ref="K73:Q73"/>
    <mergeCell ref="R73:X73"/>
    <mergeCell ref="Y73:Z73"/>
    <mergeCell ref="R81:X81"/>
    <mergeCell ref="Y81:Z81"/>
    <mergeCell ref="C77:I77"/>
    <mergeCell ref="K77:Q77"/>
    <mergeCell ref="C74:I74"/>
    <mergeCell ref="K74:Q74"/>
    <mergeCell ref="R74:X74"/>
    <mergeCell ref="Y74:Z74"/>
    <mergeCell ref="C75:I75"/>
    <mergeCell ref="K75:Q75"/>
    <mergeCell ref="R75:X75"/>
    <mergeCell ref="Y75:Z75"/>
    <mergeCell ref="C76:I76"/>
    <mergeCell ref="K76:Q76"/>
    <mergeCell ref="R76:X76"/>
    <mergeCell ref="Y76:Z76"/>
    <mergeCell ref="Y80:Z80"/>
    <mergeCell ref="C81:I81"/>
    <mergeCell ref="K81:Q81"/>
    <mergeCell ref="R77:X77"/>
    <mergeCell ref="Y77:Z77"/>
    <mergeCell ref="C78:I78"/>
    <mergeCell ref="K78:Q78"/>
    <mergeCell ref="R78:X78"/>
    <mergeCell ref="C69:I69"/>
    <mergeCell ref="K69:Q69"/>
    <mergeCell ref="R69:X69"/>
    <mergeCell ref="Y69:Z69"/>
    <mergeCell ref="C70:I70"/>
    <mergeCell ref="K70:Q70"/>
    <mergeCell ref="R70:X70"/>
    <mergeCell ref="Y70:Z70"/>
    <mergeCell ref="C71:I71"/>
    <mergeCell ref="K71:Q71"/>
    <mergeCell ref="R71:X71"/>
    <mergeCell ref="Y71:Z71"/>
    <mergeCell ref="C66:I66"/>
    <mergeCell ref="K66:Q66"/>
    <mergeCell ref="R66:X66"/>
    <mergeCell ref="Y66:Z66"/>
    <mergeCell ref="C67:I67"/>
    <mergeCell ref="K67:Q67"/>
    <mergeCell ref="R67:X67"/>
    <mergeCell ref="Y67:Z67"/>
    <mergeCell ref="C68:I68"/>
    <mergeCell ref="K68:Q68"/>
    <mergeCell ref="R68:X68"/>
    <mergeCell ref="Y68:Z68"/>
    <mergeCell ref="Y52:Z52"/>
    <mergeCell ref="C53:I53"/>
    <mergeCell ref="K53:Q53"/>
    <mergeCell ref="R53:X53"/>
    <mergeCell ref="Y53:Z53"/>
    <mergeCell ref="C87:I87"/>
    <mergeCell ref="K87:Q87"/>
    <mergeCell ref="R87:X87"/>
    <mergeCell ref="Y87:Z87"/>
    <mergeCell ref="C59:I59"/>
    <mergeCell ref="K59:Q59"/>
    <mergeCell ref="R59:X59"/>
    <mergeCell ref="Y59:Z59"/>
    <mergeCell ref="C60:I60"/>
    <mergeCell ref="K60:Q60"/>
    <mergeCell ref="R60:X60"/>
    <mergeCell ref="Y60:Z60"/>
    <mergeCell ref="C61:I61"/>
    <mergeCell ref="K61:Q61"/>
    <mergeCell ref="R61:X61"/>
    <mergeCell ref="Y61:Z61"/>
    <mergeCell ref="C62:I62"/>
    <mergeCell ref="K62:Q62"/>
    <mergeCell ref="R62:X62"/>
    <mergeCell ref="D34:U34"/>
    <mergeCell ref="W34:Y34"/>
    <mergeCell ref="D44:U44"/>
    <mergeCell ref="W44:Y44"/>
    <mergeCell ref="D45:U45"/>
    <mergeCell ref="W45:Y45"/>
    <mergeCell ref="K49:Q49"/>
    <mergeCell ref="R49:W49"/>
    <mergeCell ref="C50:I50"/>
    <mergeCell ref="K50:Q50"/>
    <mergeCell ref="R50:X50"/>
    <mergeCell ref="Y50:Z50"/>
    <mergeCell ref="E47:W47"/>
    <mergeCell ref="D6:U6"/>
    <mergeCell ref="W6:Y6"/>
    <mergeCell ref="D7:U7"/>
    <mergeCell ref="W7:Y7"/>
    <mergeCell ref="D8:U8"/>
    <mergeCell ref="W8:Y8"/>
    <mergeCell ref="D9:U9"/>
    <mergeCell ref="W9:Y9"/>
    <mergeCell ref="D28:U28"/>
    <mergeCell ref="W28:Y28"/>
    <mergeCell ref="C84:I84"/>
    <mergeCell ref="K84:Q84"/>
    <mergeCell ref="R84:X84"/>
    <mergeCell ref="Y84:Z84"/>
    <mergeCell ref="C85:I85"/>
    <mergeCell ref="K85:Q85"/>
    <mergeCell ref="R85:X85"/>
    <mergeCell ref="Y85:Z85"/>
    <mergeCell ref="C82:I82"/>
    <mergeCell ref="K82:Q82"/>
    <mergeCell ref="R82:X82"/>
    <mergeCell ref="Y82:Z82"/>
    <mergeCell ref="C83:I83"/>
    <mergeCell ref="K83:Q83"/>
    <mergeCell ref="R83:X83"/>
    <mergeCell ref="Y83:Z83"/>
    <mergeCell ref="C51:I51"/>
    <mergeCell ref="K51:Q51"/>
    <mergeCell ref="R51:X51"/>
    <mergeCell ref="Y51:Z51"/>
    <mergeCell ref="Y78:Z78"/>
    <mergeCell ref="C79:I79"/>
    <mergeCell ref="K79:Q79"/>
    <mergeCell ref="R79:X79"/>
    <mergeCell ref="Y79:Z79"/>
    <mergeCell ref="C54:I54"/>
    <mergeCell ref="K54:Q54"/>
    <mergeCell ref="R54:X54"/>
    <mergeCell ref="Y54:Z54"/>
    <mergeCell ref="C55:I55"/>
    <mergeCell ref="K55:Q55"/>
    <mergeCell ref="R55:X55"/>
    <mergeCell ref="Y55:Z55"/>
    <mergeCell ref="C56:I56"/>
    <mergeCell ref="K56:Q56"/>
    <mergeCell ref="R56:X56"/>
    <mergeCell ref="Y56:Z56"/>
    <mergeCell ref="C52:I52"/>
    <mergeCell ref="K52:Q52"/>
    <mergeCell ref="R52:X52"/>
    <mergeCell ref="C90:I90"/>
    <mergeCell ref="K90:Q90"/>
    <mergeCell ref="R90:X90"/>
    <mergeCell ref="Y90:Z90"/>
    <mergeCell ref="C86:I86"/>
    <mergeCell ref="K86:Q86"/>
    <mergeCell ref="R86:X86"/>
    <mergeCell ref="Y86:Z86"/>
    <mergeCell ref="C88:I88"/>
    <mergeCell ref="K88:Q88"/>
    <mergeCell ref="R88:X88"/>
    <mergeCell ref="Y88:Z88"/>
    <mergeCell ref="C89:I89"/>
    <mergeCell ref="K89:Q89"/>
    <mergeCell ref="R89:X89"/>
    <mergeCell ref="Y89:Z89"/>
    <mergeCell ref="C57:I57"/>
    <mergeCell ref="K57:Q57"/>
    <mergeCell ref="R57:X57"/>
    <mergeCell ref="Y57:Z57"/>
    <mergeCell ref="C58:I58"/>
    <mergeCell ref="K58:Q58"/>
    <mergeCell ref="R58:X58"/>
    <mergeCell ref="Y58:Z58"/>
    <mergeCell ref="Y62:Z62"/>
    <mergeCell ref="C63:I63"/>
    <mergeCell ref="K63:Q63"/>
    <mergeCell ref="R63:X63"/>
    <mergeCell ref="Y63:Z63"/>
    <mergeCell ref="C64:I64"/>
    <mergeCell ref="K64:Q64"/>
    <mergeCell ref="R64:X64"/>
    <mergeCell ref="Y64:Z64"/>
    <mergeCell ref="C65:I65"/>
    <mergeCell ref="K65:Q65"/>
    <mergeCell ref="R65:X65"/>
    <mergeCell ref="Y65:Z65"/>
  </mergeCells>
  <pageMargins left="0" right="0" top="0" bottom="0"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election activeCell="C38" sqref="C38"/>
    </sheetView>
  </sheetViews>
  <sheetFormatPr defaultColWidth="9.140625" defaultRowHeight="12.75"/>
  <cols>
    <col min="1" max="1" width="1.85546875" style="620" customWidth="1"/>
    <col min="2" max="2" width="11.85546875" style="620" customWidth="1"/>
    <col min="3" max="3" width="83.28515625" style="620" customWidth="1"/>
    <col min="4" max="4" width="12.28515625" style="620" customWidth="1"/>
    <col min="5" max="5" width="18.140625" style="618" customWidth="1"/>
    <col min="6" max="6" width="2.140625" style="620" customWidth="1"/>
    <col min="7" max="16384" width="9.140625" style="620"/>
  </cols>
  <sheetData>
    <row r="2" spans="2:5" ht="15">
      <c r="C2" s="619" t="s">
        <v>572</v>
      </c>
    </row>
    <row r="4" spans="2:5" ht="15">
      <c r="B4" s="616" t="s">
        <v>573</v>
      </c>
    </row>
    <row r="5" spans="2:5" s="674" customFormat="1">
      <c r="B5" s="617" t="s">
        <v>574</v>
      </c>
      <c r="C5" s="617" t="s">
        <v>575</v>
      </c>
      <c r="D5" s="617"/>
      <c r="E5" s="615" t="s">
        <v>423</v>
      </c>
    </row>
    <row r="6" spans="2:5">
      <c r="B6" s="675"/>
      <c r="C6" s="675"/>
      <c r="D6" s="675"/>
      <c r="E6" s="676"/>
    </row>
    <row r="7" spans="2:5" ht="15">
      <c r="B7" s="675">
        <v>1</v>
      </c>
      <c r="C7" s="677"/>
      <c r="D7" s="678" t="s">
        <v>576</v>
      </c>
      <c r="E7" s="662"/>
    </row>
    <row r="8" spans="2:5">
      <c r="B8" s="675">
        <v>2</v>
      </c>
      <c r="C8" s="645"/>
      <c r="D8" s="678" t="s">
        <v>576</v>
      </c>
      <c r="E8" s="662"/>
    </row>
    <row r="9" spans="2:5">
      <c r="B9" s="675">
        <v>3</v>
      </c>
      <c r="C9" s="645"/>
      <c r="D9" s="678" t="s">
        <v>576</v>
      </c>
      <c r="E9" s="662"/>
    </row>
    <row r="10" spans="2:5">
      <c r="B10" s="675">
        <v>4</v>
      </c>
      <c r="C10" s="645"/>
      <c r="D10" s="678" t="s">
        <v>576</v>
      </c>
      <c r="E10" s="662"/>
    </row>
    <row r="11" spans="2:5">
      <c r="B11" s="675">
        <v>5</v>
      </c>
      <c r="C11" s="645"/>
      <c r="D11" s="678" t="s">
        <v>576</v>
      </c>
      <c r="E11" s="662"/>
    </row>
    <row r="12" spans="2:5">
      <c r="B12" s="675">
        <v>6</v>
      </c>
      <c r="C12" s="645"/>
      <c r="D12" s="678" t="s">
        <v>576</v>
      </c>
      <c r="E12" s="662"/>
    </row>
    <row r="13" spans="2:5">
      <c r="B13" s="675">
        <v>7</v>
      </c>
      <c r="C13" s="645"/>
      <c r="D13" s="678" t="s">
        <v>576</v>
      </c>
      <c r="E13" s="662"/>
    </row>
    <row r="14" spans="2:5">
      <c r="B14" s="675">
        <v>8</v>
      </c>
      <c r="C14" s="645"/>
      <c r="D14" s="678" t="s">
        <v>576</v>
      </c>
      <c r="E14" s="662"/>
    </row>
    <row r="15" spans="2:5">
      <c r="B15" s="675">
        <v>9</v>
      </c>
      <c r="C15" s="645"/>
      <c r="D15" s="678" t="s">
        <v>576</v>
      </c>
      <c r="E15" s="662"/>
    </row>
    <row r="16" spans="2:5">
      <c r="B16" s="675">
        <v>10</v>
      </c>
      <c r="C16" s="645"/>
      <c r="D16" s="678" t="s">
        <v>576</v>
      </c>
      <c r="E16" s="662"/>
    </row>
    <row r="17" spans="2:5">
      <c r="B17" s="675">
        <v>11</v>
      </c>
      <c r="C17" s="645"/>
      <c r="D17" s="678" t="s">
        <v>576</v>
      </c>
      <c r="E17" s="662"/>
    </row>
    <row r="18" spans="2:5">
      <c r="B18" s="675">
        <v>12</v>
      </c>
      <c r="C18" s="645"/>
      <c r="D18" s="678" t="s">
        <v>576</v>
      </c>
      <c r="E18" s="662"/>
    </row>
    <row r="19" spans="2:5">
      <c r="B19" s="675">
        <v>13</v>
      </c>
      <c r="C19" s="645"/>
      <c r="D19" s="678" t="s">
        <v>576</v>
      </c>
      <c r="E19" s="662"/>
    </row>
    <row r="20" spans="2:5">
      <c r="B20" s="675">
        <v>14</v>
      </c>
      <c r="C20" s="645"/>
      <c r="D20" s="678" t="s">
        <v>576</v>
      </c>
      <c r="E20" s="662"/>
    </row>
    <row r="21" spans="2:5">
      <c r="B21" s="675">
        <v>15</v>
      </c>
      <c r="C21" s="645"/>
      <c r="D21" s="678" t="s">
        <v>576</v>
      </c>
      <c r="E21" s="662"/>
    </row>
    <row r="22" spans="2:5" ht="15">
      <c r="B22" s="616" t="s">
        <v>577</v>
      </c>
    </row>
    <row r="23" spans="2:5" s="674" customFormat="1">
      <c r="B23" s="674" t="s">
        <v>574</v>
      </c>
      <c r="C23" s="674" t="s">
        <v>575</v>
      </c>
      <c r="E23" s="679" t="s">
        <v>423</v>
      </c>
    </row>
    <row r="25" spans="2:5" ht="15">
      <c r="B25" s="675">
        <v>1</v>
      </c>
      <c r="C25" s="677"/>
      <c r="D25" s="678" t="s">
        <v>576</v>
      </c>
      <c r="E25" s="662"/>
    </row>
    <row r="26" spans="2:5">
      <c r="B26" s="675">
        <v>2</v>
      </c>
      <c r="C26" s="645"/>
      <c r="D26" s="678" t="s">
        <v>576</v>
      </c>
      <c r="E26" s="662"/>
    </row>
    <row r="27" spans="2:5">
      <c r="B27" s="675">
        <v>3</v>
      </c>
      <c r="C27" s="645"/>
      <c r="D27" s="678" t="s">
        <v>576</v>
      </c>
      <c r="E27" s="662"/>
    </row>
    <row r="28" spans="2:5">
      <c r="B28" s="675">
        <v>4</v>
      </c>
      <c r="C28" s="645"/>
      <c r="D28" s="678" t="s">
        <v>576</v>
      </c>
      <c r="E28" s="662"/>
    </row>
    <row r="29" spans="2:5">
      <c r="B29" s="675">
        <v>5</v>
      </c>
      <c r="C29" s="645"/>
      <c r="D29" s="678" t="s">
        <v>576</v>
      </c>
      <c r="E29" s="662"/>
    </row>
    <row r="30" spans="2:5">
      <c r="B30" s="675">
        <v>6</v>
      </c>
      <c r="C30" s="645"/>
      <c r="D30" s="678" t="s">
        <v>576</v>
      </c>
      <c r="E30" s="662"/>
    </row>
    <row r="31" spans="2:5">
      <c r="B31" s="675">
        <v>7</v>
      </c>
      <c r="C31" s="645"/>
      <c r="D31" s="678" t="s">
        <v>576</v>
      </c>
      <c r="E31" s="662"/>
    </row>
    <row r="32" spans="2:5">
      <c r="B32" s="675">
        <v>8</v>
      </c>
      <c r="C32" s="645"/>
      <c r="D32" s="678" t="s">
        <v>576</v>
      </c>
      <c r="E32" s="662"/>
    </row>
    <row r="33" spans="2:5">
      <c r="B33" s="675">
        <v>9</v>
      </c>
      <c r="C33" s="645"/>
      <c r="D33" s="678" t="s">
        <v>576</v>
      </c>
      <c r="E33" s="662"/>
    </row>
    <row r="34" spans="2:5">
      <c r="B34" s="675">
        <v>10</v>
      </c>
      <c r="C34" s="645"/>
      <c r="D34" s="678" t="s">
        <v>576</v>
      </c>
      <c r="E34" s="662"/>
    </row>
  </sheetData>
  <sheetProtection sheet="1" objects="1" scenarios="1"/>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F60" sqref="F60"/>
    </sheetView>
  </sheetViews>
  <sheetFormatPr defaultRowHeight="12.75"/>
  <sheetData/>
  <sheetProtection sheet="1" objects="1" scenarios="1"/>
  <pageMargins left="0.25" right="0.25"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2"/>
  <sheetViews>
    <sheetView workbookViewId="0">
      <selection activeCell="AC1" sqref="AC1"/>
    </sheetView>
  </sheetViews>
  <sheetFormatPr defaultRowHeight="12.75"/>
  <cols>
    <col min="1" max="1" width="1.5703125" style="245" customWidth="1"/>
    <col min="2" max="2" width="3.5703125" style="245" customWidth="1"/>
    <col min="3" max="3" width="7.5703125" style="245" customWidth="1"/>
    <col min="4" max="4" width="1.140625" style="245" customWidth="1"/>
    <col min="5" max="6" width="6.140625" style="245" customWidth="1"/>
    <col min="7" max="7" width="5.7109375" style="245" customWidth="1"/>
    <col min="8" max="8" width="5" style="245" customWidth="1"/>
    <col min="9" max="10" width="5.5703125" style="245" customWidth="1"/>
    <col min="11" max="11" width="1.140625" style="245" customWidth="1"/>
    <col min="12" max="12" width="5.5703125" style="245" customWidth="1"/>
    <col min="13" max="13" width="2.28515625" style="245" customWidth="1"/>
    <col min="14" max="14" width="6.140625" style="245" customWidth="1"/>
    <col min="15" max="15" width="5.85546875" style="245" customWidth="1"/>
    <col min="16" max="16" width="5.7109375" style="245" customWidth="1"/>
    <col min="17" max="17" width="6.28515625" style="245" hidden="1" customWidth="1"/>
    <col min="18" max="19" width="5.28515625" style="245" hidden="1" customWidth="1"/>
    <col min="20" max="21" width="5" style="245" hidden="1" customWidth="1"/>
    <col min="22" max="22" width="0.85546875" style="245" customWidth="1"/>
    <col min="23" max="23" width="5" style="245" customWidth="1"/>
    <col min="24" max="24" width="1" style="245" customWidth="1"/>
    <col min="25" max="25" width="8.28515625" style="245" customWidth="1"/>
    <col min="26" max="26" width="8.42578125" style="245" customWidth="1"/>
    <col min="27" max="27" width="1.42578125" style="245" customWidth="1"/>
    <col min="28" max="32" width="9.140625" style="461"/>
    <col min="33" max="60" width="9.140625" style="342"/>
    <col min="61" max="256" width="9.140625" style="245"/>
    <col min="257" max="257" width="1.5703125" style="245" customWidth="1"/>
    <col min="258" max="258" width="3.5703125" style="245" customWidth="1"/>
    <col min="259" max="259" width="7.5703125" style="245" customWidth="1"/>
    <col min="260" max="260" width="1.140625" style="245" customWidth="1"/>
    <col min="261" max="262" width="6.140625" style="245" customWidth="1"/>
    <col min="263" max="263" width="5.7109375" style="245" customWidth="1"/>
    <col min="264" max="264" width="5" style="245" customWidth="1"/>
    <col min="265" max="266" width="5.5703125" style="245" customWidth="1"/>
    <col min="267" max="267" width="1.140625" style="245" customWidth="1"/>
    <col min="268" max="268" width="5.5703125" style="245" customWidth="1"/>
    <col min="269" max="269" width="2.28515625" style="245" customWidth="1"/>
    <col min="270" max="270" width="6.140625" style="245" customWidth="1"/>
    <col min="271" max="271" width="5.85546875" style="245" customWidth="1"/>
    <col min="272" max="272" width="5.7109375" style="245" customWidth="1"/>
    <col min="273" max="277" width="0" style="245" hidden="1" customWidth="1"/>
    <col min="278" max="278" width="0.85546875" style="245" customWidth="1"/>
    <col min="279" max="279" width="5" style="245" customWidth="1"/>
    <col min="280" max="280" width="1" style="245" customWidth="1"/>
    <col min="281" max="281" width="8.28515625" style="245" customWidth="1"/>
    <col min="282" max="282" width="8.42578125" style="245" customWidth="1"/>
    <col min="283" max="283" width="1.42578125" style="245" customWidth="1"/>
    <col min="284" max="512" width="9.140625" style="245"/>
    <col min="513" max="513" width="1.5703125" style="245" customWidth="1"/>
    <col min="514" max="514" width="3.5703125" style="245" customWidth="1"/>
    <col min="515" max="515" width="7.5703125" style="245" customWidth="1"/>
    <col min="516" max="516" width="1.140625" style="245" customWidth="1"/>
    <col min="517" max="518" width="6.140625" style="245" customWidth="1"/>
    <col min="519" max="519" width="5.7109375" style="245" customWidth="1"/>
    <col min="520" max="520" width="5" style="245" customWidth="1"/>
    <col min="521" max="522" width="5.5703125" style="245" customWidth="1"/>
    <col min="523" max="523" width="1.140625" style="245" customWidth="1"/>
    <col min="524" max="524" width="5.5703125" style="245" customWidth="1"/>
    <col min="525" max="525" width="2.28515625" style="245" customWidth="1"/>
    <col min="526" max="526" width="6.140625" style="245" customWidth="1"/>
    <col min="527" max="527" width="5.85546875" style="245" customWidth="1"/>
    <col min="528" max="528" width="5.7109375" style="245" customWidth="1"/>
    <col min="529" max="533" width="0" style="245" hidden="1" customWidth="1"/>
    <col min="534" max="534" width="0.85546875" style="245" customWidth="1"/>
    <col min="535" max="535" width="5" style="245" customWidth="1"/>
    <col min="536" max="536" width="1" style="245" customWidth="1"/>
    <col min="537" max="537" width="8.28515625" style="245" customWidth="1"/>
    <col min="538" max="538" width="8.42578125" style="245" customWidth="1"/>
    <col min="539" max="539" width="1.42578125" style="245" customWidth="1"/>
    <col min="540" max="768" width="9.140625" style="245"/>
    <col min="769" max="769" width="1.5703125" style="245" customWidth="1"/>
    <col min="770" max="770" width="3.5703125" style="245" customWidth="1"/>
    <col min="771" max="771" width="7.5703125" style="245" customWidth="1"/>
    <col min="772" max="772" width="1.140625" style="245" customWidth="1"/>
    <col min="773" max="774" width="6.140625" style="245" customWidth="1"/>
    <col min="775" max="775" width="5.7109375" style="245" customWidth="1"/>
    <col min="776" max="776" width="5" style="245" customWidth="1"/>
    <col min="777" max="778" width="5.5703125" style="245" customWidth="1"/>
    <col min="779" max="779" width="1.140625" style="245" customWidth="1"/>
    <col min="780" max="780" width="5.5703125" style="245" customWidth="1"/>
    <col min="781" max="781" width="2.28515625" style="245" customWidth="1"/>
    <col min="782" max="782" width="6.140625" style="245" customWidth="1"/>
    <col min="783" max="783" width="5.85546875" style="245" customWidth="1"/>
    <col min="784" max="784" width="5.7109375" style="245" customWidth="1"/>
    <col min="785" max="789" width="0" style="245" hidden="1" customWidth="1"/>
    <col min="790" max="790" width="0.85546875" style="245" customWidth="1"/>
    <col min="791" max="791" width="5" style="245" customWidth="1"/>
    <col min="792" max="792" width="1" style="245" customWidth="1"/>
    <col min="793" max="793" width="8.28515625" style="245" customWidth="1"/>
    <col min="794" max="794" width="8.42578125" style="245" customWidth="1"/>
    <col min="795" max="795" width="1.42578125" style="245" customWidth="1"/>
    <col min="796" max="1024" width="9.140625" style="245"/>
    <col min="1025" max="1025" width="1.5703125" style="245" customWidth="1"/>
    <col min="1026" max="1026" width="3.5703125" style="245" customWidth="1"/>
    <col min="1027" max="1027" width="7.5703125" style="245" customWidth="1"/>
    <col min="1028" max="1028" width="1.140625" style="245" customWidth="1"/>
    <col min="1029" max="1030" width="6.140625" style="245" customWidth="1"/>
    <col min="1031" max="1031" width="5.7109375" style="245" customWidth="1"/>
    <col min="1032" max="1032" width="5" style="245" customWidth="1"/>
    <col min="1033" max="1034" width="5.5703125" style="245" customWidth="1"/>
    <col min="1035" max="1035" width="1.140625" style="245" customWidth="1"/>
    <col min="1036" max="1036" width="5.5703125" style="245" customWidth="1"/>
    <col min="1037" max="1037" width="2.28515625" style="245" customWidth="1"/>
    <col min="1038" max="1038" width="6.140625" style="245" customWidth="1"/>
    <col min="1039" max="1039" width="5.85546875" style="245" customWidth="1"/>
    <col min="1040" max="1040" width="5.7109375" style="245" customWidth="1"/>
    <col min="1041" max="1045" width="0" style="245" hidden="1" customWidth="1"/>
    <col min="1046" max="1046" width="0.85546875" style="245" customWidth="1"/>
    <col min="1047" max="1047" width="5" style="245" customWidth="1"/>
    <col min="1048" max="1048" width="1" style="245" customWidth="1"/>
    <col min="1049" max="1049" width="8.28515625" style="245" customWidth="1"/>
    <col min="1050" max="1050" width="8.42578125" style="245" customWidth="1"/>
    <col min="1051" max="1051" width="1.42578125" style="245" customWidth="1"/>
    <col min="1052" max="1280" width="9.140625" style="245"/>
    <col min="1281" max="1281" width="1.5703125" style="245" customWidth="1"/>
    <col min="1282" max="1282" width="3.5703125" style="245" customWidth="1"/>
    <col min="1283" max="1283" width="7.5703125" style="245" customWidth="1"/>
    <col min="1284" max="1284" width="1.140625" style="245" customWidth="1"/>
    <col min="1285" max="1286" width="6.140625" style="245" customWidth="1"/>
    <col min="1287" max="1287" width="5.7109375" style="245" customWidth="1"/>
    <col min="1288" max="1288" width="5" style="245" customWidth="1"/>
    <col min="1289" max="1290" width="5.5703125" style="245" customWidth="1"/>
    <col min="1291" max="1291" width="1.140625" style="245" customWidth="1"/>
    <col min="1292" max="1292" width="5.5703125" style="245" customWidth="1"/>
    <col min="1293" max="1293" width="2.28515625" style="245" customWidth="1"/>
    <col min="1294" max="1294" width="6.140625" style="245" customWidth="1"/>
    <col min="1295" max="1295" width="5.85546875" style="245" customWidth="1"/>
    <col min="1296" max="1296" width="5.7109375" style="245" customWidth="1"/>
    <col min="1297" max="1301" width="0" style="245" hidden="1" customWidth="1"/>
    <col min="1302" max="1302" width="0.85546875" style="245" customWidth="1"/>
    <col min="1303" max="1303" width="5" style="245" customWidth="1"/>
    <col min="1304" max="1304" width="1" style="245" customWidth="1"/>
    <col min="1305" max="1305" width="8.28515625" style="245" customWidth="1"/>
    <col min="1306" max="1306" width="8.42578125" style="245" customWidth="1"/>
    <col min="1307" max="1307" width="1.42578125" style="245" customWidth="1"/>
    <col min="1308" max="1536" width="9.140625" style="245"/>
    <col min="1537" max="1537" width="1.5703125" style="245" customWidth="1"/>
    <col min="1538" max="1538" width="3.5703125" style="245" customWidth="1"/>
    <col min="1539" max="1539" width="7.5703125" style="245" customWidth="1"/>
    <col min="1540" max="1540" width="1.140625" style="245" customWidth="1"/>
    <col min="1541" max="1542" width="6.140625" style="245" customWidth="1"/>
    <col min="1543" max="1543" width="5.7109375" style="245" customWidth="1"/>
    <col min="1544" max="1544" width="5" style="245" customWidth="1"/>
    <col min="1545" max="1546" width="5.5703125" style="245" customWidth="1"/>
    <col min="1547" max="1547" width="1.140625" style="245" customWidth="1"/>
    <col min="1548" max="1548" width="5.5703125" style="245" customWidth="1"/>
    <col min="1549" max="1549" width="2.28515625" style="245" customWidth="1"/>
    <col min="1550" max="1550" width="6.140625" style="245" customWidth="1"/>
    <col min="1551" max="1551" width="5.85546875" style="245" customWidth="1"/>
    <col min="1552" max="1552" width="5.7109375" style="245" customWidth="1"/>
    <col min="1553" max="1557" width="0" style="245" hidden="1" customWidth="1"/>
    <col min="1558" max="1558" width="0.85546875" style="245" customWidth="1"/>
    <col min="1559" max="1559" width="5" style="245" customWidth="1"/>
    <col min="1560" max="1560" width="1" style="245" customWidth="1"/>
    <col min="1561" max="1561" width="8.28515625" style="245" customWidth="1"/>
    <col min="1562" max="1562" width="8.42578125" style="245" customWidth="1"/>
    <col min="1563" max="1563" width="1.42578125" style="245" customWidth="1"/>
    <col min="1564" max="1792" width="9.140625" style="245"/>
    <col min="1793" max="1793" width="1.5703125" style="245" customWidth="1"/>
    <col min="1794" max="1794" width="3.5703125" style="245" customWidth="1"/>
    <col min="1795" max="1795" width="7.5703125" style="245" customWidth="1"/>
    <col min="1796" max="1796" width="1.140625" style="245" customWidth="1"/>
    <col min="1797" max="1798" width="6.140625" style="245" customWidth="1"/>
    <col min="1799" max="1799" width="5.7109375" style="245" customWidth="1"/>
    <col min="1800" max="1800" width="5" style="245" customWidth="1"/>
    <col min="1801" max="1802" width="5.5703125" style="245" customWidth="1"/>
    <col min="1803" max="1803" width="1.140625" style="245" customWidth="1"/>
    <col min="1804" max="1804" width="5.5703125" style="245" customWidth="1"/>
    <col min="1805" max="1805" width="2.28515625" style="245" customWidth="1"/>
    <col min="1806" max="1806" width="6.140625" style="245" customWidth="1"/>
    <col min="1807" max="1807" width="5.85546875" style="245" customWidth="1"/>
    <col min="1808" max="1808" width="5.7109375" style="245" customWidth="1"/>
    <col min="1809" max="1813" width="0" style="245" hidden="1" customWidth="1"/>
    <col min="1814" max="1814" width="0.85546875" style="245" customWidth="1"/>
    <col min="1815" max="1815" width="5" style="245" customWidth="1"/>
    <col min="1816" max="1816" width="1" style="245" customWidth="1"/>
    <col min="1817" max="1817" width="8.28515625" style="245" customWidth="1"/>
    <col min="1818" max="1818" width="8.42578125" style="245" customWidth="1"/>
    <col min="1819" max="1819" width="1.42578125" style="245" customWidth="1"/>
    <col min="1820" max="2048" width="9.140625" style="245"/>
    <col min="2049" max="2049" width="1.5703125" style="245" customWidth="1"/>
    <col min="2050" max="2050" width="3.5703125" style="245" customWidth="1"/>
    <col min="2051" max="2051" width="7.5703125" style="245" customWidth="1"/>
    <col min="2052" max="2052" width="1.140625" style="245" customWidth="1"/>
    <col min="2053" max="2054" width="6.140625" style="245" customWidth="1"/>
    <col min="2055" max="2055" width="5.7109375" style="245" customWidth="1"/>
    <col min="2056" max="2056" width="5" style="245" customWidth="1"/>
    <col min="2057" max="2058" width="5.5703125" style="245" customWidth="1"/>
    <col min="2059" max="2059" width="1.140625" style="245" customWidth="1"/>
    <col min="2060" max="2060" width="5.5703125" style="245" customWidth="1"/>
    <col min="2061" max="2061" width="2.28515625" style="245" customWidth="1"/>
    <col min="2062" max="2062" width="6.140625" style="245" customWidth="1"/>
    <col min="2063" max="2063" width="5.85546875" style="245" customWidth="1"/>
    <col min="2064" max="2064" width="5.7109375" style="245" customWidth="1"/>
    <col min="2065" max="2069" width="0" style="245" hidden="1" customWidth="1"/>
    <col min="2070" max="2070" width="0.85546875" style="245" customWidth="1"/>
    <col min="2071" max="2071" width="5" style="245" customWidth="1"/>
    <col min="2072" max="2072" width="1" style="245" customWidth="1"/>
    <col min="2073" max="2073" width="8.28515625" style="245" customWidth="1"/>
    <col min="2074" max="2074" width="8.42578125" style="245" customWidth="1"/>
    <col min="2075" max="2075" width="1.42578125" style="245" customWidth="1"/>
    <col min="2076" max="2304" width="9.140625" style="245"/>
    <col min="2305" max="2305" width="1.5703125" style="245" customWidth="1"/>
    <col min="2306" max="2306" width="3.5703125" style="245" customWidth="1"/>
    <col min="2307" max="2307" width="7.5703125" style="245" customWidth="1"/>
    <col min="2308" max="2308" width="1.140625" style="245" customWidth="1"/>
    <col min="2309" max="2310" width="6.140625" style="245" customWidth="1"/>
    <col min="2311" max="2311" width="5.7109375" style="245" customWidth="1"/>
    <col min="2312" max="2312" width="5" style="245" customWidth="1"/>
    <col min="2313" max="2314" width="5.5703125" style="245" customWidth="1"/>
    <col min="2315" max="2315" width="1.140625" style="245" customWidth="1"/>
    <col min="2316" max="2316" width="5.5703125" style="245" customWidth="1"/>
    <col min="2317" max="2317" width="2.28515625" style="245" customWidth="1"/>
    <col min="2318" max="2318" width="6.140625" style="245" customWidth="1"/>
    <col min="2319" max="2319" width="5.85546875" style="245" customWidth="1"/>
    <col min="2320" max="2320" width="5.7109375" style="245" customWidth="1"/>
    <col min="2321" max="2325" width="0" style="245" hidden="1" customWidth="1"/>
    <col min="2326" max="2326" width="0.85546875" style="245" customWidth="1"/>
    <col min="2327" max="2327" width="5" style="245" customWidth="1"/>
    <col min="2328" max="2328" width="1" style="245" customWidth="1"/>
    <col min="2329" max="2329" width="8.28515625" style="245" customWidth="1"/>
    <col min="2330" max="2330" width="8.42578125" style="245" customWidth="1"/>
    <col min="2331" max="2331" width="1.42578125" style="245" customWidth="1"/>
    <col min="2332" max="2560" width="9.140625" style="245"/>
    <col min="2561" max="2561" width="1.5703125" style="245" customWidth="1"/>
    <col min="2562" max="2562" width="3.5703125" style="245" customWidth="1"/>
    <col min="2563" max="2563" width="7.5703125" style="245" customWidth="1"/>
    <col min="2564" max="2564" width="1.140625" style="245" customWidth="1"/>
    <col min="2565" max="2566" width="6.140625" style="245" customWidth="1"/>
    <col min="2567" max="2567" width="5.7109375" style="245" customWidth="1"/>
    <col min="2568" max="2568" width="5" style="245" customWidth="1"/>
    <col min="2569" max="2570" width="5.5703125" style="245" customWidth="1"/>
    <col min="2571" max="2571" width="1.140625" style="245" customWidth="1"/>
    <col min="2572" max="2572" width="5.5703125" style="245" customWidth="1"/>
    <col min="2573" max="2573" width="2.28515625" style="245" customWidth="1"/>
    <col min="2574" max="2574" width="6.140625" style="245" customWidth="1"/>
    <col min="2575" max="2575" width="5.85546875" style="245" customWidth="1"/>
    <col min="2576" max="2576" width="5.7109375" style="245" customWidth="1"/>
    <col min="2577" max="2581" width="0" style="245" hidden="1" customWidth="1"/>
    <col min="2582" max="2582" width="0.85546875" style="245" customWidth="1"/>
    <col min="2583" max="2583" width="5" style="245" customWidth="1"/>
    <col min="2584" max="2584" width="1" style="245" customWidth="1"/>
    <col min="2585" max="2585" width="8.28515625" style="245" customWidth="1"/>
    <col min="2586" max="2586" width="8.42578125" style="245" customWidth="1"/>
    <col min="2587" max="2587" width="1.42578125" style="245" customWidth="1"/>
    <col min="2588" max="2816" width="9.140625" style="245"/>
    <col min="2817" max="2817" width="1.5703125" style="245" customWidth="1"/>
    <col min="2818" max="2818" width="3.5703125" style="245" customWidth="1"/>
    <col min="2819" max="2819" width="7.5703125" style="245" customWidth="1"/>
    <col min="2820" max="2820" width="1.140625" style="245" customWidth="1"/>
    <col min="2821" max="2822" width="6.140625" style="245" customWidth="1"/>
    <col min="2823" max="2823" width="5.7109375" style="245" customWidth="1"/>
    <col min="2824" max="2824" width="5" style="245" customWidth="1"/>
    <col min="2825" max="2826" width="5.5703125" style="245" customWidth="1"/>
    <col min="2827" max="2827" width="1.140625" style="245" customWidth="1"/>
    <col min="2828" max="2828" width="5.5703125" style="245" customWidth="1"/>
    <col min="2829" max="2829" width="2.28515625" style="245" customWidth="1"/>
    <col min="2830" max="2830" width="6.140625" style="245" customWidth="1"/>
    <col min="2831" max="2831" width="5.85546875" style="245" customWidth="1"/>
    <col min="2832" max="2832" width="5.7109375" style="245" customWidth="1"/>
    <col min="2833" max="2837" width="0" style="245" hidden="1" customWidth="1"/>
    <col min="2838" max="2838" width="0.85546875" style="245" customWidth="1"/>
    <col min="2839" max="2839" width="5" style="245" customWidth="1"/>
    <col min="2840" max="2840" width="1" style="245" customWidth="1"/>
    <col min="2841" max="2841" width="8.28515625" style="245" customWidth="1"/>
    <col min="2842" max="2842" width="8.42578125" style="245" customWidth="1"/>
    <col min="2843" max="2843" width="1.42578125" style="245" customWidth="1"/>
    <col min="2844" max="3072" width="9.140625" style="245"/>
    <col min="3073" max="3073" width="1.5703125" style="245" customWidth="1"/>
    <col min="3074" max="3074" width="3.5703125" style="245" customWidth="1"/>
    <col min="3075" max="3075" width="7.5703125" style="245" customWidth="1"/>
    <col min="3076" max="3076" width="1.140625" style="245" customWidth="1"/>
    <col min="3077" max="3078" width="6.140625" style="245" customWidth="1"/>
    <col min="3079" max="3079" width="5.7109375" style="245" customWidth="1"/>
    <col min="3080" max="3080" width="5" style="245" customWidth="1"/>
    <col min="3081" max="3082" width="5.5703125" style="245" customWidth="1"/>
    <col min="3083" max="3083" width="1.140625" style="245" customWidth="1"/>
    <col min="3084" max="3084" width="5.5703125" style="245" customWidth="1"/>
    <col min="3085" max="3085" width="2.28515625" style="245" customWidth="1"/>
    <col min="3086" max="3086" width="6.140625" style="245" customWidth="1"/>
    <col min="3087" max="3087" width="5.85546875" style="245" customWidth="1"/>
    <col min="3088" max="3088" width="5.7109375" style="245" customWidth="1"/>
    <col min="3089" max="3093" width="0" style="245" hidden="1" customWidth="1"/>
    <col min="3094" max="3094" width="0.85546875" style="245" customWidth="1"/>
    <col min="3095" max="3095" width="5" style="245" customWidth="1"/>
    <col min="3096" max="3096" width="1" style="245" customWidth="1"/>
    <col min="3097" max="3097" width="8.28515625" style="245" customWidth="1"/>
    <col min="3098" max="3098" width="8.42578125" style="245" customWidth="1"/>
    <col min="3099" max="3099" width="1.42578125" style="245" customWidth="1"/>
    <col min="3100" max="3328" width="9.140625" style="245"/>
    <col min="3329" max="3329" width="1.5703125" style="245" customWidth="1"/>
    <col min="3330" max="3330" width="3.5703125" style="245" customWidth="1"/>
    <col min="3331" max="3331" width="7.5703125" style="245" customWidth="1"/>
    <col min="3332" max="3332" width="1.140625" style="245" customWidth="1"/>
    <col min="3333" max="3334" width="6.140625" style="245" customWidth="1"/>
    <col min="3335" max="3335" width="5.7109375" style="245" customWidth="1"/>
    <col min="3336" max="3336" width="5" style="245" customWidth="1"/>
    <col min="3337" max="3338" width="5.5703125" style="245" customWidth="1"/>
    <col min="3339" max="3339" width="1.140625" style="245" customWidth="1"/>
    <col min="3340" max="3340" width="5.5703125" style="245" customWidth="1"/>
    <col min="3341" max="3341" width="2.28515625" style="245" customWidth="1"/>
    <col min="3342" max="3342" width="6.140625" style="245" customWidth="1"/>
    <col min="3343" max="3343" width="5.85546875" style="245" customWidth="1"/>
    <col min="3344" max="3344" width="5.7109375" style="245" customWidth="1"/>
    <col min="3345" max="3349" width="0" style="245" hidden="1" customWidth="1"/>
    <col min="3350" max="3350" width="0.85546875" style="245" customWidth="1"/>
    <col min="3351" max="3351" width="5" style="245" customWidth="1"/>
    <col min="3352" max="3352" width="1" style="245" customWidth="1"/>
    <col min="3353" max="3353" width="8.28515625" style="245" customWidth="1"/>
    <col min="3354" max="3354" width="8.42578125" style="245" customWidth="1"/>
    <col min="3355" max="3355" width="1.42578125" style="245" customWidth="1"/>
    <col min="3356" max="3584" width="9.140625" style="245"/>
    <col min="3585" max="3585" width="1.5703125" style="245" customWidth="1"/>
    <col min="3586" max="3586" width="3.5703125" style="245" customWidth="1"/>
    <col min="3587" max="3587" width="7.5703125" style="245" customWidth="1"/>
    <col min="3588" max="3588" width="1.140625" style="245" customWidth="1"/>
    <col min="3589" max="3590" width="6.140625" style="245" customWidth="1"/>
    <col min="3591" max="3591" width="5.7109375" style="245" customWidth="1"/>
    <col min="3592" max="3592" width="5" style="245" customWidth="1"/>
    <col min="3593" max="3594" width="5.5703125" style="245" customWidth="1"/>
    <col min="3595" max="3595" width="1.140625" style="245" customWidth="1"/>
    <col min="3596" max="3596" width="5.5703125" style="245" customWidth="1"/>
    <col min="3597" max="3597" width="2.28515625" style="245" customWidth="1"/>
    <col min="3598" max="3598" width="6.140625" style="245" customWidth="1"/>
    <col min="3599" max="3599" width="5.85546875" style="245" customWidth="1"/>
    <col min="3600" max="3600" width="5.7109375" style="245" customWidth="1"/>
    <col min="3601" max="3605" width="0" style="245" hidden="1" customWidth="1"/>
    <col min="3606" max="3606" width="0.85546875" style="245" customWidth="1"/>
    <col min="3607" max="3607" width="5" style="245" customWidth="1"/>
    <col min="3608" max="3608" width="1" style="245" customWidth="1"/>
    <col min="3609" max="3609" width="8.28515625" style="245" customWidth="1"/>
    <col min="3610" max="3610" width="8.42578125" style="245" customWidth="1"/>
    <col min="3611" max="3611" width="1.42578125" style="245" customWidth="1"/>
    <col min="3612" max="3840" width="9.140625" style="245"/>
    <col min="3841" max="3841" width="1.5703125" style="245" customWidth="1"/>
    <col min="3842" max="3842" width="3.5703125" style="245" customWidth="1"/>
    <col min="3843" max="3843" width="7.5703125" style="245" customWidth="1"/>
    <col min="3844" max="3844" width="1.140625" style="245" customWidth="1"/>
    <col min="3845" max="3846" width="6.140625" style="245" customWidth="1"/>
    <col min="3847" max="3847" width="5.7109375" style="245" customWidth="1"/>
    <col min="3848" max="3848" width="5" style="245" customWidth="1"/>
    <col min="3849" max="3850" width="5.5703125" style="245" customWidth="1"/>
    <col min="3851" max="3851" width="1.140625" style="245" customWidth="1"/>
    <col min="3852" max="3852" width="5.5703125" style="245" customWidth="1"/>
    <col min="3853" max="3853" width="2.28515625" style="245" customWidth="1"/>
    <col min="3854" max="3854" width="6.140625" style="245" customWidth="1"/>
    <col min="3855" max="3855" width="5.85546875" style="245" customWidth="1"/>
    <col min="3856" max="3856" width="5.7109375" style="245" customWidth="1"/>
    <col min="3857" max="3861" width="0" style="245" hidden="1" customWidth="1"/>
    <col min="3862" max="3862" width="0.85546875" style="245" customWidth="1"/>
    <col min="3863" max="3863" width="5" style="245" customWidth="1"/>
    <col min="3864" max="3864" width="1" style="245" customWidth="1"/>
    <col min="3865" max="3865" width="8.28515625" style="245" customWidth="1"/>
    <col min="3866" max="3866" width="8.42578125" style="245" customWidth="1"/>
    <col min="3867" max="3867" width="1.42578125" style="245" customWidth="1"/>
    <col min="3868" max="4096" width="9.140625" style="245"/>
    <col min="4097" max="4097" width="1.5703125" style="245" customWidth="1"/>
    <col min="4098" max="4098" width="3.5703125" style="245" customWidth="1"/>
    <col min="4099" max="4099" width="7.5703125" style="245" customWidth="1"/>
    <col min="4100" max="4100" width="1.140625" style="245" customWidth="1"/>
    <col min="4101" max="4102" width="6.140625" style="245" customWidth="1"/>
    <col min="4103" max="4103" width="5.7109375" style="245" customWidth="1"/>
    <col min="4104" max="4104" width="5" style="245" customWidth="1"/>
    <col min="4105" max="4106" width="5.5703125" style="245" customWidth="1"/>
    <col min="4107" max="4107" width="1.140625" style="245" customWidth="1"/>
    <col min="4108" max="4108" width="5.5703125" style="245" customWidth="1"/>
    <col min="4109" max="4109" width="2.28515625" style="245" customWidth="1"/>
    <col min="4110" max="4110" width="6.140625" style="245" customWidth="1"/>
    <col min="4111" max="4111" width="5.85546875" style="245" customWidth="1"/>
    <col min="4112" max="4112" width="5.7109375" style="245" customWidth="1"/>
    <col min="4113" max="4117" width="0" style="245" hidden="1" customWidth="1"/>
    <col min="4118" max="4118" width="0.85546875" style="245" customWidth="1"/>
    <col min="4119" max="4119" width="5" style="245" customWidth="1"/>
    <col min="4120" max="4120" width="1" style="245" customWidth="1"/>
    <col min="4121" max="4121" width="8.28515625" style="245" customWidth="1"/>
    <col min="4122" max="4122" width="8.42578125" style="245" customWidth="1"/>
    <col min="4123" max="4123" width="1.42578125" style="245" customWidth="1"/>
    <col min="4124" max="4352" width="9.140625" style="245"/>
    <col min="4353" max="4353" width="1.5703125" style="245" customWidth="1"/>
    <col min="4354" max="4354" width="3.5703125" style="245" customWidth="1"/>
    <col min="4355" max="4355" width="7.5703125" style="245" customWidth="1"/>
    <col min="4356" max="4356" width="1.140625" style="245" customWidth="1"/>
    <col min="4357" max="4358" width="6.140625" style="245" customWidth="1"/>
    <col min="4359" max="4359" width="5.7109375" style="245" customWidth="1"/>
    <col min="4360" max="4360" width="5" style="245" customWidth="1"/>
    <col min="4361" max="4362" width="5.5703125" style="245" customWidth="1"/>
    <col min="4363" max="4363" width="1.140625" style="245" customWidth="1"/>
    <col min="4364" max="4364" width="5.5703125" style="245" customWidth="1"/>
    <col min="4365" max="4365" width="2.28515625" style="245" customWidth="1"/>
    <col min="4366" max="4366" width="6.140625" style="245" customWidth="1"/>
    <col min="4367" max="4367" width="5.85546875" style="245" customWidth="1"/>
    <col min="4368" max="4368" width="5.7109375" style="245" customWidth="1"/>
    <col min="4369" max="4373" width="0" style="245" hidden="1" customWidth="1"/>
    <col min="4374" max="4374" width="0.85546875" style="245" customWidth="1"/>
    <col min="4375" max="4375" width="5" style="245" customWidth="1"/>
    <col min="4376" max="4376" width="1" style="245" customWidth="1"/>
    <col min="4377" max="4377" width="8.28515625" style="245" customWidth="1"/>
    <col min="4378" max="4378" width="8.42578125" style="245" customWidth="1"/>
    <col min="4379" max="4379" width="1.42578125" style="245" customWidth="1"/>
    <col min="4380" max="4608" width="9.140625" style="245"/>
    <col min="4609" max="4609" width="1.5703125" style="245" customWidth="1"/>
    <col min="4610" max="4610" width="3.5703125" style="245" customWidth="1"/>
    <col min="4611" max="4611" width="7.5703125" style="245" customWidth="1"/>
    <col min="4612" max="4612" width="1.140625" style="245" customWidth="1"/>
    <col min="4613" max="4614" width="6.140625" style="245" customWidth="1"/>
    <col min="4615" max="4615" width="5.7109375" style="245" customWidth="1"/>
    <col min="4616" max="4616" width="5" style="245" customWidth="1"/>
    <col min="4617" max="4618" width="5.5703125" style="245" customWidth="1"/>
    <col min="4619" max="4619" width="1.140625" style="245" customWidth="1"/>
    <col min="4620" max="4620" width="5.5703125" style="245" customWidth="1"/>
    <col min="4621" max="4621" width="2.28515625" style="245" customWidth="1"/>
    <col min="4622" max="4622" width="6.140625" style="245" customWidth="1"/>
    <col min="4623" max="4623" width="5.85546875" style="245" customWidth="1"/>
    <col min="4624" max="4624" width="5.7109375" style="245" customWidth="1"/>
    <col min="4625" max="4629" width="0" style="245" hidden="1" customWidth="1"/>
    <col min="4630" max="4630" width="0.85546875" style="245" customWidth="1"/>
    <col min="4631" max="4631" width="5" style="245" customWidth="1"/>
    <col min="4632" max="4632" width="1" style="245" customWidth="1"/>
    <col min="4633" max="4633" width="8.28515625" style="245" customWidth="1"/>
    <col min="4634" max="4634" width="8.42578125" style="245" customWidth="1"/>
    <col min="4635" max="4635" width="1.42578125" style="245" customWidth="1"/>
    <col min="4636" max="4864" width="9.140625" style="245"/>
    <col min="4865" max="4865" width="1.5703125" style="245" customWidth="1"/>
    <col min="4866" max="4866" width="3.5703125" style="245" customWidth="1"/>
    <col min="4867" max="4867" width="7.5703125" style="245" customWidth="1"/>
    <col min="4868" max="4868" width="1.140625" style="245" customWidth="1"/>
    <col min="4869" max="4870" width="6.140625" style="245" customWidth="1"/>
    <col min="4871" max="4871" width="5.7109375" style="245" customWidth="1"/>
    <col min="4872" max="4872" width="5" style="245" customWidth="1"/>
    <col min="4873" max="4874" width="5.5703125" style="245" customWidth="1"/>
    <col min="4875" max="4875" width="1.140625" style="245" customWidth="1"/>
    <col min="4876" max="4876" width="5.5703125" style="245" customWidth="1"/>
    <col min="4877" max="4877" width="2.28515625" style="245" customWidth="1"/>
    <col min="4878" max="4878" width="6.140625" style="245" customWidth="1"/>
    <col min="4879" max="4879" width="5.85546875" style="245" customWidth="1"/>
    <col min="4880" max="4880" width="5.7109375" style="245" customWidth="1"/>
    <col min="4881" max="4885" width="0" style="245" hidden="1" customWidth="1"/>
    <col min="4886" max="4886" width="0.85546875" style="245" customWidth="1"/>
    <col min="4887" max="4887" width="5" style="245" customWidth="1"/>
    <col min="4888" max="4888" width="1" style="245" customWidth="1"/>
    <col min="4889" max="4889" width="8.28515625" style="245" customWidth="1"/>
    <col min="4890" max="4890" width="8.42578125" style="245" customWidth="1"/>
    <col min="4891" max="4891" width="1.42578125" style="245" customWidth="1"/>
    <col min="4892" max="5120" width="9.140625" style="245"/>
    <col min="5121" max="5121" width="1.5703125" style="245" customWidth="1"/>
    <col min="5122" max="5122" width="3.5703125" style="245" customWidth="1"/>
    <col min="5123" max="5123" width="7.5703125" style="245" customWidth="1"/>
    <col min="5124" max="5124" width="1.140625" style="245" customWidth="1"/>
    <col min="5125" max="5126" width="6.140625" style="245" customWidth="1"/>
    <col min="5127" max="5127" width="5.7109375" style="245" customWidth="1"/>
    <col min="5128" max="5128" width="5" style="245" customWidth="1"/>
    <col min="5129" max="5130" width="5.5703125" style="245" customWidth="1"/>
    <col min="5131" max="5131" width="1.140625" style="245" customWidth="1"/>
    <col min="5132" max="5132" width="5.5703125" style="245" customWidth="1"/>
    <col min="5133" max="5133" width="2.28515625" style="245" customWidth="1"/>
    <col min="5134" max="5134" width="6.140625" style="245" customWidth="1"/>
    <col min="5135" max="5135" width="5.85546875" style="245" customWidth="1"/>
    <col min="5136" max="5136" width="5.7109375" style="245" customWidth="1"/>
    <col min="5137" max="5141" width="0" style="245" hidden="1" customWidth="1"/>
    <col min="5142" max="5142" width="0.85546875" style="245" customWidth="1"/>
    <col min="5143" max="5143" width="5" style="245" customWidth="1"/>
    <col min="5144" max="5144" width="1" style="245" customWidth="1"/>
    <col min="5145" max="5145" width="8.28515625" style="245" customWidth="1"/>
    <col min="5146" max="5146" width="8.42578125" style="245" customWidth="1"/>
    <col min="5147" max="5147" width="1.42578125" style="245" customWidth="1"/>
    <col min="5148" max="5376" width="9.140625" style="245"/>
    <col min="5377" max="5377" width="1.5703125" style="245" customWidth="1"/>
    <col min="5378" max="5378" width="3.5703125" style="245" customWidth="1"/>
    <col min="5379" max="5379" width="7.5703125" style="245" customWidth="1"/>
    <col min="5380" max="5380" width="1.140625" style="245" customWidth="1"/>
    <col min="5381" max="5382" width="6.140625" style="245" customWidth="1"/>
    <col min="5383" max="5383" width="5.7109375" style="245" customWidth="1"/>
    <col min="5384" max="5384" width="5" style="245" customWidth="1"/>
    <col min="5385" max="5386" width="5.5703125" style="245" customWidth="1"/>
    <col min="5387" max="5387" width="1.140625" style="245" customWidth="1"/>
    <col min="5388" max="5388" width="5.5703125" style="245" customWidth="1"/>
    <col min="5389" max="5389" width="2.28515625" style="245" customWidth="1"/>
    <col min="5390" max="5390" width="6.140625" style="245" customWidth="1"/>
    <col min="5391" max="5391" width="5.85546875" style="245" customWidth="1"/>
    <col min="5392" max="5392" width="5.7109375" style="245" customWidth="1"/>
    <col min="5393" max="5397" width="0" style="245" hidden="1" customWidth="1"/>
    <col min="5398" max="5398" width="0.85546875" style="245" customWidth="1"/>
    <col min="5399" max="5399" width="5" style="245" customWidth="1"/>
    <col min="5400" max="5400" width="1" style="245" customWidth="1"/>
    <col min="5401" max="5401" width="8.28515625" style="245" customWidth="1"/>
    <col min="5402" max="5402" width="8.42578125" style="245" customWidth="1"/>
    <col min="5403" max="5403" width="1.42578125" style="245" customWidth="1"/>
    <col min="5404" max="5632" width="9.140625" style="245"/>
    <col min="5633" max="5633" width="1.5703125" style="245" customWidth="1"/>
    <col min="5634" max="5634" width="3.5703125" style="245" customWidth="1"/>
    <col min="5635" max="5635" width="7.5703125" style="245" customWidth="1"/>
    <col min="5636" max="5636" width="1.140625" style="245" customWidth="1"/>
    <col min="5637" max="5638" width="6.140625" style="245" customWidth="1"/>
    <col min="5639" max="5639" width="5.7109375" style="245" customWidth="1"/>
    <col min="5640" max="5640" width="5" style="245" customWidth="1"/>
    <col min="5641" max="5642" width="5.5703125" style="245" customWidth="1"/>
    <col min="5643" max="5643" width="1.140625" style="245" customWidth="1"/>
    <col min="5644" max="5644" width="5.5703125" style="245" customWidth="1"/>
    <col min="5645" max="5645" width="2.28515625" style="245" customWidth="1"/>
    <col min="5646" max="5646" width="6.140625" style="245" customWidth="1"/>
    <col min="5647" max="5647" width="5.85546875" style="245" customWidth="1"/>
    <col min="5648" max="5648" width="5.7109375" style="245" customWidth="1"/>
    <col min="5649" max="5653" width="0" style="245" hidden="1" customWidth="1"/>
    <col min="5654" max="5654" width="0.85546875" style="245" customWidth="1"/>
    <col min="5655" max="5655" width="5" style="245" customWidth="1"/>
    <col min="5656" max="5656" width="1" style="245" customWidth="1"/>
    <col min="5657" max="5657" width="8.28515625" style="245" customWidth="1"/>
    <col min="5658" max="5658" width="8.42578125" style="245" customWidth="1"/>
    <col min="5659" max="5659" width="1.42578125" style="245" customWidth="1"/>
    <col min="5660" max="5888" width="9.140625" style="245"/>
    <col min="5889" max="5889" width="1.5703125" style="245" customWidth="1"/>
    <col min="5890" max="5890" width="3.5703125" style="245" customWidth="1"/>
    <col min="5891" max="5891" width="7.5703125" style="245" customWidth="1"/>
    <col min="5892" max="5892" width="1.140625" style="245" customWidth="1"/>
    <col min="5893" max="5894" width="6.140625" style="245" customWidth="1"/>
    <col min="5895" max="5895" width="5.7109375" style="245" customWidth="1"/>
    <col min="5896" max="5896" width="5" style="245" customWidth="1"/>
    <col min="5897" max="5898" width="5.5703125" style="245" customWidth="1"/>
    <col min="5899" max="5899" width="1.140625" style="245" customWidth="1"/>
    <col min="5900" max="5900" width="5.5703125" style="245" customWidth="1"/>
    <col min="5901" max="5901" width="2.28515625" style="245" customWidth="1"/>
    <col min="5902" max="5902" width="6.140625" style="245" customWidth="1"/>
    <col min="5903" max="5903" width="5.85546875" style="245" customWidth="1"/>
    <col min="5904" max="5904" width="5.7109375" style="245" customWidth="1"/>
    <col min="5905" max="5909" width="0" style="245" hidden="1" customWidth="1"/>
    <col min="5910" max="5910" width="0.85546875" style="245" customWidth="1"/>
    <col min="5911" max="5911" width="5" style="245" customWidth="1"/>
    <col min="5912" max="5912" width="1" style="245" customWidth="1"/>
    <col min="5913" max="5913" width="8.28515625" style="245" customWidth="1"/>
    <col min="5914" max="5914" width="8.42578125" style="245" customWidth="1"/>
    <col min="5915" max="5915" width="1.42578125" style="245" customWidth="1"/>
    <col min="5916" max="6144" width="9.140625" style="245"/>
    <col min="6145" max="6145" width="1.5703125" style="245" customWidth="1"/>
    <col min="6146" max="6146" width="3.5703125" style="245" customWidth="1"/>
    <col min="6147" max="6147" width="7.5703125" style="245" customWidth="1"/>
    <col min="6148" max="6148" width="1.140625" style="245" customWidth="1"/>
    <col min="6149" max="6150" width="6.140625" style="245" customWidth="1"/>
    <col min="6151" max="6151" width="5.7109375" style="245" customWidth="1"/>
    <col min="6152" max="6152" width="5" style="245" customWidth="1"/>
    <col min="6153" max="6154" width="5.5703125" style="245" customWidth="1"/>
    <col min="6155" max="6155" width="1.140625" style="245" customWidth="1"/>
    <col min="6156" max="6156" width="5.5703125" style="245" customWidth="1"/>
    <col min="6157" max="6157" width="2.28515625" style="245" customWidth="1"/>
    <col min="6158" max="6158" width="6.140625" style="245" customWidth="1"/>
    <col min="6159" max="6159" width="5.85546875" style="245" customWidth="1"/>
    <col min="6160" max="6160" width="5.7109375" style="245" customWidth="1"/>
    <col min="6161" max="6165" width="0" style="245" hidden="1" customWidth="1"/>
    <col min="6166" max="6166" width="0.85546875" style="245" customWidth="1"/>
    <col min="6167" max="6167" width="5" style="245" customWidth="1"/>
    <col min="6168" max="6168" width="1" style="245" customWidth="1"/>
    <col min="6169" max="6169" width="8.28515625" style="245" customWidth="1"/>
    <col min="6170" max="6170" width="8.42578125" style="245" customWidth="1"/>
    <col min="6171" max="6171" width="1.42578125" style="245" customWidth="1"/>
    <col min="6172" max="6400" width="9.140625" style="245"/>
    <col min="6401" max="6401" width="1.5703125" style="245" customWidth="1"/>
    <col min="6402" max="6402" width="3.5703125" style="245" customWidth="1"/>
    <col min="6403" max="6403" width="7.5703125" style="245" customWidth="1"/>
    <col min="6404" max="6404" width="1.140625" style="245" customWidth="1"/>
    <col min="6405" max="6406" width="6.140625" style="245" customWidth="1"/>
    <col min="6407" max="6407" width="5.7109375" style="245" customWidth="1"/>
    <col min="6408" max="6408" width="5" style="245" customWidth="1"/>
    <col min="6409" max="6410" width="5.5703125" style="245" customWidth="1"/>
    <col min="6411" max="6411" width="1.140625" style="245" customWidth="1"/>
    <col min="6412" max="6412" width="5.5703125" style="245" customWidth="1"/>
    <col min="6413" max="6413" width="2.28515625" style="245" customWidth="1"/>
    <col min="6414" max="6414" width="6.140625" style="245" customWidth="1"/>
    <col min="6415" max="6415" width="5.85546875" style="245" customWidth="1"/>
    <col min="6416" max="6416" width="5.7109375" style="245" customWidth="1"/>
    <col min="6417" max="6421" width="0" style="245" hidden="1" customWidth="1"/>
    <col min="6422" max="6422" width="0.85546875" style="245" customWidth="1"/>
    <col min="6423" max="6423" width="5" style="245" customWidth="1"/>
    <col min="6424" max="6424" width="1" style="245" customWidth="1"/>
    <col min="6425" max="6425" width="8.28515625" style="245" customWidth="1"/>
    <col min="6426" max="6426" width="8.42578125" style="245" customWidth="1"/>
    <col min="6427" max="6427" width="1.42578125" style="245" customWidth="1"/>
    <col min="6428" max="6656" width="9.140625" style="245"/>
    <col min="6657" max="6657" width="1.5703125" style="245" customWidth="1"/>
    <col min="6658" max="6658" width="3.5703125" style="245" customWidth="1"/>
    <col min="6659" max="6659" width="7.5703125" style="245" customWidth="1"/>
    <col min="6660" max="6660" width="1.140625" style="245" customWidth="1"/>
    <col min="6661" max="6662" width="6.140625" style="245" customWidth="1"/>
    <col min="6663" max="6663" width="5.7109375" style="245" customWidth="1"/>
    <col min="6664" max="6664" width="5" style="245" customWidth="1"/>
    <col min="6665" max="6666" width="5.5703125" style="245" customWidth="1"/>
    <col min="6667" max="6667" width="1.140625" style="245" customWidth="1"/>
    <col min="6668" max="6668" width="5.5703125" style="245" customWidth="1"/>
    <col min="6669" max="6669" width="2.28515625" style="245" customWidth="1"/>
    <col min="6670" max="6670" width="6.140625" style="245" customWidth="1"/>
    <col min="6671" max="6671" width="5.85546875" style="245" customWidth="1"/>
    <col min="6672" max="6672" width="5.7109375" style="245" customWidth="1"/>
    <col min="6673" max="6677" width="0" style="245" hidden="1" customWidth="1"/>
    <col min="6678" max="6678" width="0.85546875" style="245" customWidth="1"/>
    <col min="6679" max="6679" width="5" style="245" customWidth="1"/>
    <col min="6680" max="6680" width="1" style="245" customWidth="1"/>
    <col min="6681" max="6681" width="8.28515625" style="245" customWidth="1"/>
    <col min="6682" max="6682" width="8.42578125" style="245" customWidth="1"/>
    <col min="6683" max="6683" width="1.42578125" style="245" customWidth="1"/>
    <col min="6684" max="6912" width="9.140625" style="245"/>
    <col min="6913" max="6913" width="1.5703125" style="245" customWidth="1"/>
    <col min="6914" max="6914" width="3.5703125" style="245" customWidth="1"/>
    <col min="6915" max="6915" width="7.5703125" style="245" customWidth="1"/>
    <col min="6916" max="6916" width="1.140625" style="245" customWidth="1"/>
    <col min="6917" max="6918" width="6.140625" style="245" customWidth="1"/>
    <col min="6919" max="6919" width="5.7109375" style="245" customWidth="1"/>
    <col min="6920" max="6920" width="5" style="245" customWidth="1"/>
    <col min="6921" max="6922" width="5.5703125" style="245" customWidth="1"/>
    <col min="6923" max="6923" width="1.140625" style="245" customWidth="1"/>
    <col min="6924" max="6924" width="5.5703125" style="245" customWidth="1"/>
    <col min="6925" max="6925" width="2.28515625" style="245" customWidth="1"/>
    <col min="6926" max="6926" width="6.140625" style="245" customWidth="1"/>
    <col min="6927" max="6927" width="5.85546875" style="245" customWidth="1"/>
    <col min="6928" max="6928" width="5.7109375" style="245" customWidth="1"/>
    <col min="6929" max="6933" width="0" style="245" hidden="1" customWidth="1"/>
    <col min="6934" max="6934" width="0.85546875" style="245" customWidth="1"/>
    <col min="6935" max="6935" width="5" style="245" customWidth="1"/>
    <col min="6936" max="6936" width="1" style="245" customWidth="1"/>
    <col min="6937" max="6937" width="8.28515625" style="245" customWidth="1"/>
    <col min="6938" max="6938" width="8.42578125" style="245" customWidth="1"/>
    <col min="6939" max="6939" width="1.42578125" style="245" customWidth="1"/>
    <col min="6940" max="7168" width="9.140625" style="245"/>
    <col min="7169" max="7169" width="1.5703125" style="245" customWidth="1"/>
    <col min="7170" max="7170" width="3.5703125" style="245" customWidth="1"/>
    <col min="7171" max="7171" width="7.5703125" style="245" customWidth="1"/>
    <col min="7172" max="7172" width="1.140625" style="245" customWidth="1"/>
    <col min="7173" max="7174" width="6.140625" style="245" customWidth="1"/>
    <col min="7175" max="7175" width="5.7109375" style="245" customWidth="1"/>
    <col min="7176" max="7176" width="5" style="245" customWidth="1"/>
    <col min="7177" max="7178" width="5.5703125" style="245" customWidth="1"/>
    <col min="7179" max="7179" width="1.140625" style="245" customWidth="1"/>
    <col min="7180" max="7180" width="5.5703125" style="245" customWidth="1"/>
    <col min="7181" max="7181" width="2.28515625" style="245" customWidth="1"/>
    <col min="7182" max="7182" width="6.140625" style="245" customWidth="1"/>
    <col min="7183" max="7183" width="5.85546875" style="245" customWidth="1"/>
    <col min="7184" max="7184" width="5.7109375" style="245" customWidth="1"/>
    <col min="7185" max="7189" width="0" style="245" hidden="1" customWidth="1"/>
    <col min="7190" max="7190" width="0.85546875" style="245" customWidth="1"/>
    <col min="7191" max="7191" width="5" style="245" customWidth="1"/>
    <col min="7192" max="7192" width="1" style="245" customWidth="1"/>
    <col min="7193" max="7193" width="8.28515625" style="245" customWidth="1"/>
    <col min="7194" max="7194" width="8.42578125" style="245" customWidth="1"/>
    <col min="7195" max="7195" width="1.42578125" style="245" customWidth="1"/>
    <col min="7196" max="7424" width="9.140625" style="245"/>
    <col min="7425" max="7425" width="1.5703125" style="245" customWidth="1"/>
    <col min="7426" max="7426" width="3.5703125" style="245" customWidth="1"/>
    <col min="7427" max="7427" width="7.5703125" style="245" customWidth="1"/>
    <col min="7428" max="7428" width="1.140625" style="245" customWidth="1"/>
    <col min="7429" max="7430" width="6.140625" style="245" customWidth="1"/>
    <col min="7431" max="7431" width="5.7109375" style="245" customWidth="1"/>
    <col min="7432" max="7432" width="5" style="245" customWidth="1"/>
    <col min="7433" max="7434" width="5.5703125" style="245" customWidth="1"/>
    <col min="7435" max="7435" width="1.140625" style="245" customWidth="1"/>
    <col min="7436" max="7436" width="5.5703125" style="245" customWidth="1"/>
    <col min="7437" max="7437" width="2.28515625" style="245" customWidth="1"/>
    <col min="7438" max="7438" width="6.140625" style="245" customWidth="1"/>
    <col min="7439" max="7439" width="5.85546875" style="245" customWidth="1"/>
    <col min="7440" max="7440" width="5.7109375" style="245" customWidth="1"/>
    <col min="7441" max="7445" width="0" style="245" hidden="1" customWidth="1"/>
    <col min="7446" max="7446" width="0.85546875" style="245" customWidth="1"/>
    <col min="7447" max="7447" width="5" style="245" customWidth="1"/>
    <col min="7448" max="7448" width="1" style="245" customWidth="1"/>
    <col min="7449" max="7449" width="8.28515625" style="245" customWidth="1"/>
    <col min="7450" max="7450" width="8.42578125" style="245" customWidth="1"/>
    <col min="7451" max="7451" width="1.42578125" style="245" customWidth="1"/>
    <col min="7452" max="7680" width="9.140625" style="245"/>
    <col min="7681" max="7681" width="1.5703125" style="245" customWidth="1"/>
    <col min="7682" max="7682" width="3.5703125" style="245" customWidth="1"/>
    <col min="7683" max="7683" width="7.5703125" style="245" customWidth="1"/>
    <col min="7684" max="7684" width="1.140625" style="245" customWidth="1"/>
    <col min="7685" max="7686" width="6.140625" style="245" customWidth="1"/>
    <col min="7687" max="7687" width="5.7109375" style="245" customWidth="1"/>
    <col min="7688" max="7688" width="5" style="245" customWidth="1"/>
    <col min="7689" max="7690" width="5.5703125" style="245" customWidth="1"/>
    <col min="7691" max="7691" width="1.140625" style="245" customWidth="1"/>
    <col min="7692" max="7692" width="5.5703125" style="245" customWidth="1"/>
    <col min="7693" max="7693" width="2.28515625" style="245" customWidth="1"/>
    <col min="7694" max="7694" width="6.140625" style="245" customWidth="1"/>
    <col min="7695" max="7695" width="5.85546875" style="245" customWidth="1"/>
    <col min="7696" max="7696" width="5.7109375" style="245" customWidth="1"/>
    <col min="7697" max="7701" width="0" style="245" hidden="1" customWidth="1"/>
    <col min="7702" max="7702" width="0.85546875" style="245" customWidth="1"/>
    <col min="7703" max="7703" width="5" style="245" customWidth="1"/>
    <col min="7704" max="7704" width="1" style="245" customWidth="1"/>
    <col min="7705" max="7705" width="8.28515625" style="245" customWidth="1"/>
    <col min="7706" max="7706" width="8.42578125" style="245" customWidth="1"/>
    <col min="7707" max="7707" width="1.42578125" style="245" customWidth="1"/>
    <col min="7708" max="7936" width="9.140625" style="245"/>
    <col min="7937" max="7937" width="1.5703125" style="245" customWidth="1"/>
    <col min="7938" max="7938" width="3.5703125" style="245" customWidth="1"/>
    <col min="7939" max="7939" width="7.5703125" style="245" customWidth="1"/>
    <col min="7940" max="7940" width="1.140625" style="245" customWidth="1"/>
    <col min="7941" max="7942" width="6.140625" style="245" customWidth="1"/>
    <col min="7943" max="7943" width="5.7109375" style="245" customWidth="1"/>
    <col min="7944" max="7944" width="5" style="245" customWidth="1"/>
    <col min="7945" max="7946" width="5.5703125" style="245" customWidth="1"/>
    <col min="7947" max="7947" width="1.140625" style="245" customWidth="1"/>
    <col min="7948" max="7948" width="5.5703125" style="245" customWidth="1"/>
    <col min="7949" max="7949" width="2.28515625" style="245" customWidth="1"/>
    <col min="7950" max="7950" width="6.140625" style="245" customWidth="1"/>
    <col min="7951" max="7951" width="5.85546875" style="245" customWidth="1"/>
    <col min="7952" max="7952" width="5.7109375" style="245" customWidth="1"/>
    <col min="7953" max="7957" width="0" style="245" hidden="1" customWidth="1"/>
    <col min="7958" max="7958" width="0.85546875" style="245" customWidth="1"/>
    <col min="7959" max="7959" width="5" style="245" customWidth="1"/>
    <col min="7960" max="7960" width="1" style="245" customWidth="1"/>
    <col min="7961" max="7961" width="8.28515625" style="245" customWidth="1"/>
    <col min="7962" max="7962" width="8.42578125" style="245" customWidth="1"/>
    <col min="7963" max="7963" width="1.42578125" style="245" customWidth="1"/>
    <col min="7964" max="8192" width="9.140625" style="245"/>
    <col min="8193" max="8193" width="1.5703125" style="245" customWidth="1"/>
    <col min="8194" max="8194" width="3.5703125" style="245" customWidth="1"/>
    <col min="8195" max="8195" width="7.5703125" style="245" customWidth="1"/>
    <col min="8196" max="8196" width="1.140625" style="245" customWidth="1"/>
    <col min="8197" max="8198" width="6.140625" style="245" customWidth="1"/>
    <col min="8199" max="8199" width="5.7109375" style="245" customWidth="1"/>
    <col min="8200" max="8200" width="5" style="245" customWidth="1"/>
    <col min="8201" max="8202" width="5.5703125" style="245" customWidth="1"/>
    <col min="8203" max="8203" width="1.140625" style="245" customWidth="1"/>
    <col min="8204" max="8204" width="5.5703125" style="245" customWidth="1"/>
    <col min="8205" max="8205" width="2.28515625" style="245" customWidth="1"/>
    <col min="8206" max="8206" width="6.140625" style="245" customWidth="1"/>
    <col min="8207" max="8207" width="5.85546875" style="245" customWidth="1"/>
    <col min="8208" max="8208" width="5.7109375" style="245" customWidth="1"/>
    <col min="8209" max="8213" width="0" style="245" hidden="1" customWidth="1"/>
    <col min="8214" max="8214" width="0.85546875" style="245" customWidth="1"/>
    <col min="8215" max="8215" width="5" style="245" customWidth="1"/>
    <col min="8216" max="8216" width="1" style="245" customWidth="1"/>
    <col min="8217" max="8217" width="8.28515625" style="245" customWidth="1"/>
    <col min="8218" max="8218" width="8.42578125" style="245" customWidth="1"/>
    <col min="8219" max="8219" width="1.42578125" style="245" customWidth="1"/>
    <col min="8220" max="8448" width="9.140625" style="245"/>
    <col min="8449" max="8449" width="1.5703125" style="245" customWidth="1"/>
    <col min="8450" max="8450" width="3.5703125" style="245" customWidth="1"/>
    <col min="8451" max="8451" width="7.5703125" style="245" customWidth="1"/>
    <col min="8452" max="8452" width="1.140625" style="245" customWidth="1"/>
    <col min="8453" max="8454" width="6.140625" style="245" customWidth="1"/>
    <col min="8455" max="8455" width="5.7109375" style="245" customWidth="1"/>
    <col min="8456" max="8456" width="5" style="245" customWidth="1"/>
    <col min="8457" max="8458" width="5.5703125" style="245" customWidth="1"/>
    <col min="8459" max="8459" width="1.140625" style="245" customWidth="1"/>
    <col min="8460" max="8460" width="5.5703125" style="245" customWidth="1"/>
    <col min="8461" max="8461" width="2.28515625" style="245" customWidth="1"/>
    <col min="8462" max="8462" width="6.140625" style="245" customWidth="1"/>
    <col min="8463" max="8463" width="5.85546875" style="245" customWidth="1"/>
    <col min="8464" max="8464" width="5.7109375" style="245" customWidth="1"/>
    <col min="8465" max="8469" width="0" style="245" hidden="1" customWidth="1"/>
    <col min="8470" max="8470" width="0.85546875" style="245" customWidth="1"/>
    <col min="8471" max="8471" width="5" style="245" customWidth="1"/>
    <col min="8472" max="8472" width="1" style="245" customWidth="1"/>
    <col min="8473" max="8473" width="8.28515625" style="245" customWidth="1"/>
    <col min="8474" max="8474" width="8.42578125" style="245" customWidth="1"/>
    <col min="8475" max="8475" width="1.42578125" style="245" customWidth="1"/>
    <col min="8476" max="8704" width="9.140625" style="245"/>
    <col min="8705" max="8705" width="1.5703125" style="245" customWidth="1"/>
    <col min="8706" max="8706" width="3.5703125" style="245" customWidth="1"/>
    <col min="8707" max="8707" width="7.5703125" style="245" customWidth="1"/>
    <col min="8708" max="8708" width="1.140625" style="245" customWidth="1"/>
    <col min="8709" max="8710" width="6.140625" style="245" customWidth="1"/>
    <col min="8711" max="8711" width="5.7109375" style="245" customWidth="1"/>
    <col min="8712" max="8712" width="5" style="245" customWidth="1"/>
    <col min="8713" max="8714" width="5.5703125" style="245" customWidth="1"/>
    <col min="8715" max="8715" width="1.140625" style="245" customWidth="1"/>
    <col min="8716" max="8716" width="5.5703125" style="245" customWidth="1"/>
    <col min="8717" max="8717" width="2.28515625" style="245" customWidth="1"/>
    <col min="8718" max="8718" width="6.140625" style="245" customWidth="1"/>
    <col min="8719" max="8719" width="5.85546875" style="245" customWidth="1"/>
    <col min="8720" max="8720" width="5.7109375" style="245" customWidth="1"/>
    <col min="8721" max="8725" width="0" style="245" hidden="1" customWidth="1"/>
    <col min="8726" max="8726" width="0.85546875" style="245" customWidth="1"/>
    <col min="8727" max="8727" width="5" style="245" customWidth="1"/>
    <col min="8728" max="8728" width="1" style="245" customWidth="1"/>
    <col min="8729" max="8729" width="8.28515625" style="245" customWidth="1"/>
    <col min="8730" max="8730" width="8.42578125" style="245" customWidth="1"/>
    <col min="8731" max="8731" width="1.42578125" style="245" customWidth="1"/>
    <col min="8732" max="8960" width="9.140625" style="245"/>
    <col min="8961" max="8961" width="1.5703125" style="245" customWidth="1"/>
    <col min="8962" max="8962" width="3.5703125" style="245" customWidth="1"/>
    <col min="8963" max="8963" width="7.5703125" style="245" customWidth="1"/>
    <col min="8964" max="8964" width="1.140625" style="245" customWidth="1"/>
    <col min="8965" max="8966" width="6.140625" style="245" customWidth="1"/>
    <col min="8967" max="8967" width="5.7109375" style="245" customWidth="1"/>
    <col min="8968" max="8968" width="5" style="245" customWidth="1"/>
    <col min="8969" max="8970" width="5.5703125" style="245" customWidth="1"/>
    <col min="8971" max="8971" width="1.140625" style="245" customWidth="1"/>
    <col min="8972" max="8972" width="5.5703125" style="245" customWidth="1"/>
    <col min="8973" max="8973" width="2.28515625" style="245" customWidth="1"/>
    <col min="8974" max="8974" width="6.140625" style="245" customWidth="1"/>
    <col min="8975" max="8975" width="5.85546875" style="245" customWidth="1"/>
    <col min="8976" max="8976" width="5.7109375" style="245" customWidth="1"/>
    <col min="8977" max="8981" width="0" style="245" hidden="1" customWidth="1"/>
    <col min="8982" max="8982" width="0.85546875" style="245" customWidth="1"/>
    <col min="8983" max="8983" width="5" style="245" customWidth="1"/>
    <col min="8984" max="8984" width="1" style="245" customWidth="1"/>
    <col min="8985" max="8985" width="8.28515625" style="245" customWidth="1"/>
    <col min="8986" max="8986" width="8.42578125" style="245" customWidth="1"/>
    <col min="8987" max="8987" width="1.42578125" style="245" customWidth="1"/>
    <col min="8988" max="9216" width="9.140625" style="245"/>
    <col min="9217" max="9217" width="1.5703125" style="245" customWidth="1"/>
    <col min="9218" max="9218" width="3.5703125" style="245" customWidth="1"/>
    <col min="9219" max="9219" width="7.5703125" style="245" customWidth="1"/>
    <col min="9220" max="9220" width="1.140625" style="245" customWidth="1"/>
    <col min="9221" max="9222" width="6.140625" style="245" customWidth="1"/>
    <col min="9223" max="9223" width="5.7109375" style="245" customWidth="1"/>
    <col min="9224" max="9224" width="5" style="245" customWidth="1"/>
    <col min="9225" max="9226" width="5.5703125" style="245" customWidth="1"/>
    <col min="9227" max="9227" width="1.140625" style="245" customWidth="1"/>
    <col min="9228" max="9228" width="5.5703125" style="245" customWidth="1"/>
    <col min="9229" max="9229" width="2.28515625" style="245" customWidth="1"/>
    <col min="9230" max="9230" width="6.140625" style="245" customWidth="1"/>
    <col min="9231" max="9231" width="5.85546875" style="245" customWidth="1"/>
    <col min="9232" max="9232" width="5.7109375" style="245" customWidth="1"/>
    <col min="9233" max="9237" width="0" style="245" hidden="1" customWidth="1"/>
    <col min="9238" max="9238" width="0.85546875" style="245" customWidth="1"/>
    <col min="9239" max="9239" width="5" style="245" customWidth="1"/>
    <col min="9240" max="9240" width="1" style="245" customWidth="1"/>
    <col min="9241" max="9241" width="8.28515625" style="245" customWidth="1"/>
    <col min="9242" max="9242" width="8.42578125" style="245" customWidth="1"/>
    <col min="9243" max="9243" width="1.42578125" style="245" customWidth="1"/>
    <col min="9244" max="9472" width="9.140625" style="245"/>
    <col min="9473" max="9473" width="1.5703125" style="245" customWidth="1"/>
    <col min="9474" max="9474" width="3.5703125" style="245" customWidth="1"/>
    <col min="9475" max="9475" width="7.5703125" style="245" customWidth="1"/>
    <col min="9476" max="9476" width="1.140625" style="245" customWidth="1"/>
    <col min="9477" max="9478" width="6.140625" style="245" customWidth="1"/>
    <col min="9479" max="9479" width="5.7109375" style="245" customWidth="1"/>
    <col min="9480" max="9480" width="5" style="245" customWidth="1"/>
    <col min="9481" max="9482" width="5.5703125" style="245" customWidth="1"/>
    <col min="9483" max="9483" width="1.140625" style="245" customWidth="1"/>
    <col min="9484" max="9484" width="5.5703125" style="245" customWidth="1"/>
    <col min="9485" max="9485" width="2.28515625" style="245" customWidth="1"/>
    <col min="9486" max="9486" width="6.140625" style="245" customWidth="1"/>
    <col min="9487" max="9487" width="5.85546875" style="245" customWidth="1"/>
    <col min="9488" max="9488" width="5.7109375" style="245" customWidth="1"/>
    <col min="9489" max="9493" width="0" style="245" hidden="1" customWidth="1"/>
    <col min="9494" max="9494" width="0.85546875" style="245" customWidth="1"/>
    <col min="9495" max="9495" width="5" style="245" customWidth="1"/>
    <col min="9496" max="9496" width="1" style="245" customWidth="1"/>
    <col min="9497" max="9497" width="8.28515625" style="245" customWidth="1"/>
    <col min="9498" max="9498" width="8.42578125" style="245" customWidth="1"/>
    <col min="9499" max="9499" width="1.42578125" style="245" customWidth="1"/>
    <col min="9500" max="9728" width="9.140625" style="245"/>
    <col min="9729" max="9729" width="1.5703125" style="245" customWidth="1"/>
    <col min="9730" max="9730" width="3.5703125" style="245" customWidth="1"/>
    <col min="9731" max="9731" width="7.5703125" style="245" customWidth="1"/>
    <col min="9732" max="9732" width="1.140625" style="245" customWidth="1"/>
    <col min="9733" max="9734" width="6.140625" style="245" customWidth="1"/>
    <col min="9735" max="9735" width="5.7109375" style="245" customWidth="1"/>
    <col min="9736" max="9736" width="5" style="245" customWidth="1"/>
    <col min="9737" max="9738" width="5.5703125" style="245" customWidth="1"/>
    <col min="9739" max="9739" width="1.140625" style="245" customWidth="1"/>
    <col min="9740" max="9740" width="5.5703125" style="245" customWidth="1"/>
    <col min="9741" max="9741" width="2.28515625" style="245" customWidth="1"/>
    <col min="9742" max="9742" width="6.140625" style="245" customWidth="1"/>
    <col min="9743" max="9743" width="5.85546875" style="245" customWidth="1"/>
    <col min="9744" max="9744" width="5.7109375" style="245" customWidth="1"/>
    <col min="9745" max="9749" width="0" style="245" hidden="1" customWidth="1"/>
    <col min="9750" max="9750" width="0.85546875" style="245" customWidth="1"/>
    <col min="9751" max="9751" width="5" style="245" customWidth="1"/>
    <col min="9752" max="9752" width="1" style="245" customWidth="1"/>
    <col min="9753" max="9753" width="8.28515625" style="245" customWidth="1"/>
    <col min="9754" max="9754" width="8.42578125" style="245" customWidth="1"/>
    <col min="9755" max="9755" width="1.42578125" style="245" customWidth="1"/>
    <col min="9756" max="9984" width="9.140625" style="245"/>
    <col min="9985" max="9985" width="1.5703125" style="245" customWidth="1"/>
    <col min="9986" max="9986" width="3.5703125" style="245" customWidth="1"/>
    <col min="9987" max="9987" width="7.5703125" style="245" customWidth="1"/>
    <col min="9988" max="9988" width="1.140625" style="245" customWidth="1"/>
    <col min="9989" max="9990" width="6.140625" style="245" customWidth="1"/>
    <col min="9991" max="9991" width="5.7109375" style="245" customWidth="1"/>
    <col min="9992" max="9992" width="5" style="245" customWidth="1"/>
    <col min="9993" max="9994" width="5.5703125" style="245" customWidth="1"/>
    <col min="9995" max="9995" width="1.140625" style="245" customWidth="1"/>
    <col min="9996" max="9996" width="5.5703125" style="245" customWidth="1"/>
    <col min="9997" max="9997" width="2.28515625" style="245" customWidth="1"/>
    <col min="9998" max="9998" width="6.140625" style="245" customWidth="1"/>
    <col min="9999" max="9999" width="5.85546875" style="245" customWidth="1"/>
    <col min="10000" max="10000" width="5.7109375" style="245" customWidth="1"/>
    <col min="10001" max="10005" width="0" style="245" hidden="1" customWidth="1"/>
    <col min="10006" max="10006" width="0.85546875" style="245" customWidth="1"/>
    <col min="10007" max="10007" width="5" style="245" customWidth="1"/>
    <col min="10008" max="10008" width="1" style="245" customWidth="1"/>
    <col min="10009" max="10009" width="8.28515625" style="245" customWidth="1"/>
    <col min="10010" max="10010" width="8.42578125" style="245" customWidth="1"/>
    <col min="10011" max="10011" width="1.42578125" style="245" customWidth="1"/>
    <col min="10012" max="10240" width="9.140625" style="245"/>
    <col min="10241" max="10241" width="1.5703125" style="245" customWidth="1"/>
    <col min="10242" max="10242" width="3.5703125" style="245" customWidth="1"/>
    <col min="10243" max="10243" width="7.5703125" style="245" customWidth="1"/>
    <col min="10244" max="10244" width="1.140625" style="245" customWidth="1"/>
    <col min="10245" max="10246" width="6.140625" style="245" customWidth="1"/>
    <col min="10247" max="10247" width="5.7109375" style="245" customWidth="1"/>
    <col min="10248" max="10248" width="5" style="245" customWidth="1"/>
    <col min="10249" max="10250" width="5.5703125" style="245" customWidth="1"/>
    <col min="10251" max="10251" width="1.140625" style="245" customWidth="1"/>
    <col min="10252" max="10252" width="5.5703125" style="245" customWidth="1"/>
    <col min="10253" max="10253" width="2.28515625" style="245" customWidth="1"/>
    <col min="10254" max="10254" width="6.140625" style="245" customWidth="1"/>
    <col min="10255" max="10255" width="5.85546875" style="245" customWidth="1"/>
    <col min="10256" max="10256" width="5.7109375" style="245" customWidth="1"/>
    <col min="10257" max="10261" width="0" style="245" hidden="1" customWidth="1"/>
    <col min="10262" max="10262" width="0.85546875" style="245" customWidth="1"/>
    <col min="10263" max="10263" width="5" style="245" customWidth="1"/>
    <col min="10264" max="10264" width="1" style="245" customWidth="1"/>
    <col min="10265" max="10265" width="8.28515625" style="245" customWidth="1"/>
    <col min="10266" max="10266" width="8.42578125" style="245" customWidth="1"/>
    <col min="10267" max="10267" width="1.42578125" style="245" customWidth="1"/>
    <col min="10268" max="10496" width="9.140625" style="245"/>
    <col min="10497" max="10497" width="1.5703125" style="245" customWidth="1"/>
    <col min="10498" max="10498" width="3.5703125" style="245" customWidth="1"/>
    <col min="10499" max="10499" width="7.5703125" style="245" customWidth="1"/>
    <col min="10500" max="10500" width="1.140625" style="245" customWidth="1"/>
    <col min="10501" max="10502" width="6.140625" style="245" customWidth="1"/>
    <col min="10503" max="10503" width="5.7109375" style="245" customWidth="1"/>
    <col min="10504" max="10504" width="5" style="245" customWidth="1"/>
    <col min="10505" max="10506" width="5.5703125" style="245" customWidth="1"/>
    <col min="10507" max="10507" width="1.140625" style="245" customWidth="1"/>
    <col min="10508" max="10508" width="5.5703125" style="245" customWidth="1"/>
    <col min="10509" max="10509" width="2.28515625" style="245" customWidth="1"/>
    <col min="10510" max="10510" width="6.140625" style="245" customWidth="1"/>
    <col min="10511" max="10511" width="5.85546875" style="245" customWidth="1"/>
    <col min="10512" max="10512" width="5.7109375" style="245" customWidth="1"/>
    <col min="10513" max="10517" width="0" style="245" hidden="1" customWidth="1"/>
    <col min="10518" max="10518" width="0.85546875" style="245" customWidth="1"/>
    <col min="10519" max="10519" width="5" style="245" customWidth="1"/>
    <col min="10520" max="10520" width="1" style="245" customWidth="1"/>
    <col min="10521" max="10521" width="8.28515625" style="245" customWidth="1"/>
    <col min="10522" max="10522" width="8.42578125" style="245" customWidth="1"/>
    <col min="10523" max="10523" width="1.42578125" style="245" customWidth="1"/>
    <col min="10524" max="10752" width="9.140625" style="245"/>
    <col min="10753" max="10753" width="1.5703125" style="245" customWidth="1"/>
    <col min="10754" max="10754" width="3.5703125" style="245" customWidth="1"/>
    <col min="10755" max="10755" width="7.5703125" style="245" customWidth="1"/>
    <col min="10756" max="10756" width="1.140625" style="245" customWidth="1"/>
    <col min="10757" max="10758" width="6.140625" style="245" customWidth="1"/>
    <col min="10759" max="10759" width="5.7109375" style="245" customWidth="1"/>
    <col min="10760" max="10760" width="5" style="245" customWidth="1"/>
    <col min="10761" max="10762" width="5.5703125" style="245" customWidth="1"/>
    <col min="10763" max="10763" width="1.140625" style="245" customWidth="1"/>
    <col min="10764" max="10764" width="5.5703125" style="245" customWidth="1"/>
    <col min="10765" max="10765" width="2.28515625" style="245" customWidth="1"/>
    <col min="10766" max="10766" width="6.140625" style="245" customWidth="1"/>
    <col min="10767" max="10767" width="5.85546875" style="245" customWidth="1"/>
    <col min="10768" max="10768" width="5.7109375" style="245" customWidth="1"/>
    <col min="10769" max="10773" width="0" style="245" hidden="1" customWidth="1"/>
    <col min="10774" max="10774" width="0.85546875" style="245" customWidth="1"/>
    <col min="10775" max="10775" width="5" style="245" customWidth="1"/>
    <col min="10776" max="10776" width="1" style="245" customWidth="1"/>
    <col min="10777" max="10777" width="8.28515625" style="245" customWidth="1"/>
    <col min="10778" max="10778" width="8.42578125" style="245" customWidth="1"/>
    <col min="10779" max="10779" width="1.42578125" style="245" customWidth="1"/>
    <col min="10780" max="11008" width="9.140625" style="245"/>
    <col min="11009" max="11009" width="1.5703125" style="245" customWidth="1"/>
    <col min="11010" max="11010" width="3.5703125" style="245" customWidth="1"/>
    <col min="11011" max="11011" width="7.5703125" style="245" customWidth="1"/>
    <col min="11012" max="11012" width="1.140625" style="245" customWidth="1"/>
    <col min="11013" max="11014" width="6.140625" style="245" customWidth="1"/>
    <col min="11015" max="11015" width="5.7109375" style="245" customWidth="1"/>
    <col min="11016" max="11016" width="5" style="245" customWidth="1"/>
    <col min="11017" max="11018" width="5.5703125" style="245" customWidth="1"/>
    <col min="11019" max="11019" width="1.140625" style="245" customWidth="1"/>
    <col min="11020" max="11020" width="5.5703125" style="245" customWidth="1"/>
    <col min="11021" max="11021" width="2.28515625" style="245" customWidth="1"/>
    <col min="11022" max="11022" width="6.140625" style="245" customWidth="1"/>
    <col min="11023" max="11023" width="5.85546875" style="245" customWidth="1"/>
    <col min="11024" max="11024" width="5.7109375" style="245" customWidth="1"/>
    <col min="11025" max="11029" width="0" style="245" hidden="1" customWidth="1"/>
    <col min="11030" max="11030" width="0.85546875" style="245" customWidth="1"/>
    <col min="11031" max="11031" width="5" style="245" customWidth="1"/>
    <col min="11032" max="11032" width="1" style="245" customWidth="1"/>
    <col min="11033" max="11033" width="8.28515625" style="245" customWidth="1"/>
    <col min="11034" max="11034" width="8.42578125" style="245" customWidth="1"/>
    <col min="11035" max="11035" width="1.42578125" style="245" customWidth="1"/>
    <col min="11036" max="11264" width="9.140625" style="245"/>
    <col min="11265" max="11265" width="1.5703125" style="245" customWidth="1"/>
    <col min="11266" max="11266" width="3.5703125" style="245" customWidth="1"/>
    <col min="11267" max="11267" width="7.5703125" style="245" customWidth="1"/>
    <col min="11268" max="11268" width="1.140625" style="245" customWidth="1"/>
    <col min="11269" max="11270" width="6.140625" style="245" customWidth="1"/>
    <col min="11271" max="11271" width="5.7109375" style="245" customWidth="1"/>
    <col min="11272" max="11272" width="5" style="245" customWidth="1"/>
    <col min="11273" max="11274" width="5.5703125" style="245" customWidth="1"/>
    <col min="11275" max="11275" width="1.140625" style="245" customWidth="1"/>
    <col min="11276" max="11276" width="5.5703125" style="245" customWidth="1"/>
    <col min="11277" max="11277" width="2.28515625" style="245" customWidth="1"/>
    <col min="11278" max="11278" width="6.140625" style="245" customWidth="1"/>
    <col min="11279" max="11279" width="5.85546875" style="245" customWidth="1"/>
    <col min="11280" max="11280" width="5.7109375" style="245" customWidth="1"/>
    <col min="11281" max="11285" width="0" style="245" hidden="1" customWidth="1"/>
    <col min="11286" max="11286" width="0.85546875" style="245" customWidth="1"/>
    <col min="11287" max="11287" width="5" style="245" customWidth="1"/>
    <col min="11288" max="11288" width="1" style="245" customWidth="1"/>
    <col min="11289" max="11289" width="8.28515625" style="245" customWidth="1"/>
    <col min="11290" max="11290" width="8.42578125" style="245" customWidth="1"/>
    <col min="11291" max="11291" width="1.42578125" style="245" customWidth="1"/>
    <col min="11292" max="11520" width="9.140625" style="245"/>
    <col min="11521" max="11521" width="1.5703125" style="245" customWidth="1"/>
    <col min="11522" max="11522" width="3.5703125" style="245" customWidth="1"/>
    <col min="11523" max="11523" width="7.5703125" style="245" customWidth="1"/>
    <col min="11524" max="11524" width="1.140625" style="245" customWidth="1"/>
    <col min="11525" max="11526" width="6.140625" style="245" customWidth="1"/>
    <col min="11527" max="11527" width="5.7109375" style="245" customWidth="1"/>
    <col min="11528" max="11528" width="5" style="245" customWidth="1"/>
    <col min="11529" max="11530" width="5.5703125" style="245" customWidth="1"/>
    <col min="11531" max="11531" width="1.140625" style="245" customWidth="1"/>
    <col min="11532" max="11532" width="5.5703125" style="245" customWidth="1"/>
    <col min="11533" max="11533" width="2.28515625" style="245" customWidth="1"/>
    <col min="11534" max="11534" width="6.140625" style="245" customWidth="1"/>
    <col min="11535" max="11535" width="5.85546875" style="245" customWidth="1"/>
    <col min="11536" max="11536" width="5.7109375" style="245" customWidth="1"/>
    <col min="11537" max="11541" width="0" style="245" hidden="1" customWidth="1"/>
    <col min="11542" max="11542" width="0.85546875" style="245" customWidth="1"/>
    <col min="11543" max="11543" width="5" style="245" customWidth="1"/>
    <col min="11544" max="11544" width="1" style="245" customWidth="1"/>
    <col min="11545" max="11545" width="8.28515625" style="245" customWidth="1"/>
    <col min="11546" max="11546" width="8.42578125" style="245" customWidth="1"/>
    <col min="11547" max="11547" width="1.42578125" style="245" customWidth="1"/>
    <col min="11548" max="11776" width="9.140625" style="245"/>
    <col min="11777" max="11777" width="1.5703125" style="245" customWidth="1"/>
    <col min="11778" max="11778" width="3.5703125" style="245" customWidth="1"/>
    <col min="11779" max="11779" width="7.5703125" style="245" customWidth="1"/>
    <col min="11780" max="11780" width="1.140625" style="245" customWidth="1"/>
    <col min="11781" max="11782" width="6.140625" style="245" customWidth="1"/>
    <col min="11783" max="11783" width="5.7109375" style="245" customWidth="1"/>
    <col min="11784" max="11784" width="5" style="245" customWidth="1"/>
    <col min="11785" max="11786" width="5.5703125" style="245" customWidth="1"/>
    <col min="11787" max="11787" width="1.140625" style="245" customWidth="1"/>
    <col min="11788" max="11788" width="5.5703125" style="245" customWidth="1"/>
    <col min="11789" max="11789" width="2.28515625" style="245" customWidth="1"/>
    <col min="11790" max="11790" width="6.140625" style="245" customWidth="1"/>
    <col min="11791" max="11791" width="5.85546875" style="245" customWidth="1"/>
    <col min="11792" max="11792" width="5.7109375" style="245" customWidth="1"/>
    <col min="11793" max="11797" width="0" style="245" hidden="1" customWidth="1"/>
    <col min="11798" max="11798" width="0.85546875" style="245" customWidth="1"/>
    <col min="11799" max="11799" width="5" style="245" customWidth="1"/>
    <col min="11800" max="11800" width="1" style="245" customWidth="1"/>
    <col min="11801" max="11801" width="8.28515625" style="245" customWidth="1"/>
    <col min="11802" max="11802" width="8.42578125" style="245" customWidth="1"/>
    <col min="11803" max="11803" width="1.42578125" style="245" customWidth="1"/>
    <col min="11804" max="12032" width="9.140625" style="245"/>
    <col min="12033" max="12033" width="1.5703125" style="245" customWidth="1"/>
    <col min="12034" max="12034" width="3.5703125" style="245" customWidth="1"/>
    <col min="12035" max="12035" width="7.5703125" style="245" customWidth="1"/>
    <col min="12036" max="12036" width="1.140625" style="245" customWidth="1"/>
    <col min="12037" max="12038" width="6.140625" style="245" customWidth="1"/>
    <col min="12039" max="12039" width="5.7109375" style="245" customWidth="1"/>
    <col min="12040" max="12040" width="5" style="245" customWidth="1"/>
    <col min="12041" max="12042" width="5.5703125" style="245" customWidth="1"/>
    <col min="12043" max="12043" width="1.140625" style="245" customWidth="1"/>
    <col min="12044" max="12044" width="5.5703125" style="245" customWidth="1"/>
    <col min="12045" max="12045" width="2.28515625" style="245" customWidth="1"/>
    <col min="12046" max="12046" width="6.140625" style="245" customWidth="1"/>
    <col min="12047" max="12047" width="5.85546875" style="245" customWidth="1"/>
    <col min="12048" max="12048" width="5.7109375" style="245" customWidth="1"/>
    <col min="12049" max="12053" width="0" style="245" hidden="1" customWidth="1"/>
    <col min="12054" max="12054" width="0.85546875" style="245" customWidth="1"/>
    <col min="12055" max="12055" width="5" style="245" customWidth="1"/>
    <col min="12056" max="12056" width="1" style="245" customWidth="1"/>
    <col min="12057" max="12057" width="8.28515625" style="245" customWidth="1"/>
    <col min="12058" max="12058" width="8.42578125" style="245" customWidth="1"/>
    <col min="12059" max="12059" width="1.42578125" style="245" customWidth="1"/>
    <col min="12060" max="12288" width="9.140625" style="245"/>
    <col min="12289" max="12289" width="1.5703125" style="245" customWidth="1"/>
    <col min="12290" max="12290" width="3.5703125" style="245" customWidth="1"/>
    <col min="12291" max="12291" width="7.5703125" style="245" customWidth="1"/>
    <col min="12292" max="12292" width="1.140625" style="245" customWidth="1"/>
    <col min="12293" max="12294" width="6.140625" style="245" customWidth="1"/>
    <col min="12295" max="12295" width="5.7109375" style="245" customWidth="1"/>
    <col min="12296" max="12296" width="5" style="245" customWidth="1"/>
    <col min="12297" max="12298" width="5.5703125" style="245" customWidth="1"/>
    <col min="12299" max="12299" width="1.140625" style="245" customWidth="1"/>
    <col min="12300" max="12300" width="5.5703125" style="245" customWidth="1"/>
    <col min="12301" max="12301" width="2.28515625" style="245" customWidth="1"/>
    <col min="12302" max="12302" width="6.140625" style="245" customWidth="1"/>
    <col min="12303" max="12303" width="5.85546875" style="245" customWidth="1"/>
    <col min="12304" max="12304" width="5.7109375" style="245" customWidth="1"/>
    <col min="12305" max="12309" width="0" style="245" hidden="1" customWidth="1"/>
    <col min="12310" max="12310" width="0.85546875" style="245" customWidth="1"/>
    <col min="12311" max="12311" width="5" style="245" customWidth="1"/>
    <col min="12312" max="12312" width="1" style="245" customWidth="1"/>
    <col min="12313" max="12313" width="8.28515625" style="245" customWidth="1"/>
    <col min="12314" max="12314" width="8.42578125" style="245" customWidth="1"/>
    <col min="12315" max="12315" width="1.42578125" style="245" customWidth="1"/>
    <col min="12316" max="12544" width="9.140625" style="245"/>
    <col min="12545" max="12545" width="1.5703125" style="245" customWidth="1"/>
    <col min="12546" max="12546" width="3.5703125" style="245" customWidth="1"/>
    <col min="12547" max="12547" width="7.5703125" style="245" customWidth="1"/>
    <col min="12548" max="12548" width="1.140625" style="245" customWidth="1"/>
    <col min="12549" max="12550" width="6.140625" style="245" customWidth="1"/>
    <col min="12551" max="12551" width="5.7109375" style="245" customWidth="1"/>
    <col min="12552" max="12552" width="5" style="245" customWidth="1"/>
    <col min="12553" max="12554" width="5.5703125" style="245" customWidth="1"/>
    <col min="12555" max="12555" width="1.140625" style="245" customWidth="1"/>
    <col min="12556" max="12556" width="5.5703125" style="245" customWidth="1"/>
    <col min="12557" max="12557" width="2.28515625" style="245" customWidth="1"/>
    <col min="12558" max="12558" width="6.140625" style="245" customWidth="1"/>
    <col min="12559" max="12559" width="5.85546875" style="245" customWidth="1"/>
    <col min="12560" max="12560" width="5.7109375" style="245" customWidth="1"/>
    <col min="12561" max="12565" width="0" style="245" hidden="1" customWidth="1"/>
    <col min="12566" max="12566" width="0.85546875" style="245" customWidth="1"/>
    <col min="12567" max="12567" width="5" style="245" customWidth="1"/>
    <col min="12568" max="12568" width="1" style="245" customWidth="1"/>
    <col min="12569" max="12569" width="8.28515625" style="245" customWidth="1"/>
    <col min="12570" max="12570" width="8.42578125" style="245" customWidth="1"/>
    <col min="12571" max="12571" width="1.42578125" style="245" customWidth="1"/>
    <col min="12572" max="12800" width="9.140625" style="245"/>
    <col min="12801" max="12801" width="1.5703125" style="245" customWidth="1"/>
    <col min="12802" max="12802" width="3.5703125" style="245" customWidth="1"/>
    <col min="12803" max="12803" width="7.5703125" style="245" customWidth="1"/>
    <col min="12804" max="12804" width="1.140625" style="245" customWidth="1"/>
    <col min="12805" max="12806" width="6.140625" style="245" customWidth="1"/>
    <col min="12807" max="12807" width="5.7109375" style="245" customWidth="1"/>
    <col min="12808" max="12808" width="5" style="245" customWidth="1"/>
    <col min="12809" max="12810" width="5.5703125" style="245" customWidth="1"/>
    <col min="12811" max="12811" width="1.140625" style="245" customWidth="1"/>
    <col min="12812" max="12812" width="5.5703125" style="245" customWidth="1"/>
    <col min="12813" max="12813" width="2.28515625" style="245" customWidth="1"/>
    <col min="12814" max="12814" width="6.140625" style="245" customWidth="1"/>
    <col min="12815" max="12815" width="5.85546875" style="245" customWidth="1"/>
    <col min="12816" max="12816" width="5.7109375" style="245" customWidth="1"/>
    <col min="12817" max="12821" width="0" style="245" hidden="1" customWidth="1"/>
    <col min="12822" max="12822" width="0.85546875" style="245" customWidth="1"/>
    <col min="12823" max="12823" width="5" style="245" customWidth="1"/>
    <col min="12824" max="12824" width="1" style="245" customWidth="1"/>
    <col min="12825" max="12825" width="8.28515625" style="245" customWidth="1"/>
    <col min="12826" max="12826" width="8.42578125" style="245" customWidth="1"/>
    <col min="12827" max="12827" width="1.42578125" style="245" customWidth="1"/>
    <col min="12828" max="13056" width="9.140625" style="245"/>
    <col min="13057" max="13057" width="1.5703125" style="245" customWidth="1"/>
    <col min="13058" max="13058" width="3.5703125" style="245" customWidth="1"/>
    <col min="13059" max="13059" width="7.5703125" style="245" customWidth="1"/>
    <col min="13060" max="13060" width="1.140625" style="245" customWidth="1"/>
    <col min="13061" max="13062" width="6.140625" style="245" customWidth="1"/>
    <col min="13063" max="13063" width="5.7109375" style="245" customWidth="1"/>
    <col min="13064" max="13064" width="5" style="245" customWidth="1"/>
    <col min="13065" max="13066" width="5.5703125" style="245" customWidth="1"/>
    <col min="13067" max="13067" width="1.140625" style="245" customWidth="1"/>
    <col min="13068" max="13068" width="5.5703125" style="245" customWidth="1"/>
    <col min="13069" max="13069" width="2.28515625" style="245" customWidth="1"/>
    <col min="13070" max="13070" width="6.140625" style="245" customWidth="1"/>
    <col min="13071" max="13071" width="5.85546875" style="245" customWidth="1"/>
    <col min="13072" max="13072" width="5.7109375" style="245" customWidth="1"/>
    <col min="13073" max="13077" width="0" style="245" hidden="1" customWidth="1"/>
    <col min="13078" max="13078" width="0.85546875" style="245" customWidth="1"/>
    <col min="13079" max="13079" width="5" style="245" customWidth="1"/>
    <col min="13080" max="13080" width="1" style="245" customWidth="1"/>
    <col min="13081" max="13081" width="8.28515625" style="245" customWidth="1"/>
    <col min="13082" max="13082" width="8.42578125" style="245" customWidth="1"/>
    <col min="13083" max="13083" width="1.42578125" style="245" customWidth="1"/>
    <col min="13084" max="13312" width="9.140625" style="245"/>
    <col min="13313" max="13313" width="1.5703125" style="245" customWidth="1"/>
    <col min="13314" max="13314" width="3.5703125" style="245" customWidth="1"/>
    <col min="13315" max="13315" width="7.5703125" style="245" customWidth="1"/>
    <col min="13316" max="13316" width="1.140625" style="245" customWidth="1"/>
    <col min="13317" max="13318" width="6.140625" style="245" customWidth="1"/>
    <col min="13319" max="13319" width="5.7109375" style="245" customWidth="1"/>
    <col min="13320" max="13320" width="5" style="245" customWidth="1"/>
    <col min="13321" max="13322" width="5.5703125" style="245" customWidth="1"/>
    <col min="13323" max="13323" width="1.140625" style="245" customWidth="1"/>
    <col min="13324" max="13324" width="5.5703125" style="245" customWidth="1"/>
    <col min="13325" max="13325" width="2.28515625" style="245" customWidth="1"/>
    <col min="13326" max="13326" width="6.140625" style="245" customWidth="1"/>
    <col min="13327" max="13327" width="5.85546875" style="245" customWidth="1"/>
    <col min="13328" max="13328" width="5.7109375" style="245" customWidth="1"/>
    <col min="13329" max="13333" width="0" style="245" hidden="1" customWidth="1"/>
    <col min="13334" max="13334" width="0.85546875" style="245" customWidth="1"/>
    <col min="13335" max="13335" width="5" style="245" customWidth="1"/>
    <col min="13336" max="13336" width="1" style="245" customWidth="1"/>
    <col min="13337" max="13337" width="8.28515625" style="245" customWidth="1"/>
    <col min="13338" max="13338" width="8.42578125" style="245" customWidth="1"/>
    <col min="13339" max="13339" width="1.42578125" style="245" customWidth="1"/>
    <col min="13340" max="13568" width="9.140625" style="245"/>
    <col min="13569" max="13569" width="1.5703125" style="245" customWidth="1"/>
    <col min="13570" max="13570" width="3.5703125" style="245" customWidth="1"/>
    <col min="13571" max="13571" width="7.5703125" style="245" customWidth="1"/>
    <col min="13572" max="13572" width="1.140625" style="245" customWidth="1"/>
    <col min="13573" max="13574" width="6.140625" style="245" customWidth="1"/>
    <col min="13575" max="13575" width="5.7109375" style="245" customWidth="1"/>
    <col min="13576" max="13576" width="5" style="245" customWidth="1"/>
    <col min="13577" max="13578" width="5.5703125" style="245" customWidth="1"/>
    <col min="13579" max="13579" width="1.140625" style="245" customWidth="1"/>
    <col min="13580" max="13580" width="5.5703125" style="245" customWidth="1"/>
    <col min="13581" max="13581" width="2.28515625" style="245" customWidth="1"/>
    <col min="13582" max="13582" width="6.140625" style="245" customWidth="1"/>
    <col min="13583" max="13583" width="5.85546875" style="245" customWidth="1"/>
    <col min="13584" max="13584" width="5.7109375" style="245" customWidth="1"/>
    <col min="13585" max="13589" width="0" style="245" hidden="1" customWidth="1"/>
    <col min="13590" max="13590" width="0.85546875" style="245" customWidth="1"/>
    <col min="13591" max="13591" width="5" style="245" customWidth="1"/>
    <col min="13592" max="13592" width="1" style="245" customWidth="1"/>
    <col min="13593" max="13593" width="8.28515625" style="245" customWidth="1"/>
    <col min="13594" max="13594" width="8.42578125" style="245" customWidth="1"/>
    <col min="13595" max="13595" width="1.42578125" style="245" customWidth="1"/>
    <col min="13596" max="13824" width="9.140625" style="245"/>
    <col min="13825" max="13825" width="1.5703125" style="245" customWidth="1"/>
    <col min="13826" max="13826" width="3.5703125" style="245" customWidth="1"/>
    <col min="13827" max="13827" width="7.5703125" style="245" customWidth="1"/>
    <col min="13828" max="13828" width="1.140625" style="245" customWidth="1"/>
    <col min="13829" max="13830" width="6.140625" style="245" customWidth="1"/>
    <col min="13831" max="13831" width="5.7109375" style="245" customWidth="1"/>
    <col min="13832" max="13832" width="5" style="245" customWidth="1"/>
    <col min="13833" max="13834" width="5.5703125" style="245" customWidth="1"/>
    <col min="13835" max="13835" width="1.140625" style="245" customWidth="1"/>
    <col min="13836" max="13836" width="5.5703125" style="245" customWidth="1"/>
    <col min="13837" max="13837" width="2.28515625" style="245" customWidth="1"/>
    <col min="13838" max="13838" width="6.140625" style="245" customWidth="1"/>
    <col min="13839" max="13839" width="5.85546875" style="245" customWidth="1"/>
    <col min="13840" max="13840" width="5.7109375" style="245" customWidth="1"/>
    <col min="13841" max="13845" width="0" style="245" hidden="1" customWidth="1"/>
    <col min="13846" max="13846" width="0.85546875" style="245" customWidth="1"/>
    <col min="13847" max="13847" width="5" style="245" customWidth="1"/>
    <col min="13848" max="13848" width="1" style="245" customWidth="1"/>
    <col min="13849" max="13849" width="8.28515625" style="245" customWidth="1"/>
    <col min="13850" max="13850" width="8.42578125" style="245" customWidth="1"/>
    <col min="13851" max="13851" width="1.42578125" style="245" customWidth="1"/>
    <col min="13852" max="14080" width="9.140625" style="245"/>
    <col min="14081" max="14081" width="1.5703125" style="245" customWidth="1"/>
    <col min="14082" max="14082" width="3.5703125" style="245" customWidth="1"/>
    <col min="14083" max="14083" width="7.5703125" style="245" customWidth="1"/>
    <col min="14084" max="14084" width="1.140625" style="245" customWidth="1"/>
    <col min="14085" max="14086" width="6.140625" style="245" customWidth="1"/>
    <col min="14087" max="14087" width="5.7109375" style="245" customWidth="1"/>
    <col min="14088" max="14088" width="5" style="245" customWidth="1"/>
    <col min="14089" max="14090" width="5.5703125" style="245" customWidth="1"/>
    <col min="14091" max="14091" width="1.140625" style="245" customWidth="1"/>
    <col min="14092" max="14092" width="5.5703125" style="245" customWidth="1"/>
    <col min="14093" max="14093" width="2.28515625" style="245" customWidth="1"/>
    <col min="14094" max="14094" width="6.140625" style="245" customWidth="1"/>
    <col min="14095" max="14095" width="5.85546875" style="245" customWidth="1"/>
    <col min="14096" max="14096" width="5.7109375" style="245" customWidth="1"/>
    <col min="14097" max="14101" width="0" style="245" hidden="1" customWidth="1"/>
    <col min="14102" max="14102" width="0.85546875" style="245" customWidth="1"/>
    <col min="14103" max="14103" width="5" style="245" customWidth="1"/>
    <col min="14104" max="14104" width="1" style="245" customWidth="1"/>
    <col min="14105" max="14105" width="8.28515625" style="245" customWidth="1"/>
    <col min="14106" max="14106" width="8.42578125" style="245" customWidth="1"/>
    <col min="14107" max="14107" width="1.42578125" style="245" customWidth="1"/>
    <col min="14108" max="14336" width="9.140625" style="245"/>
    <col min="14337" max="14337" width="1.5703125" style="245" customWidth="1"/>
    <col min="14338" max="14338" width="3.5703125" style="245" customWidth="1"/>
    <col min="14339" max="14339" width="7.5703125" style="245" customWidth="1"/>
    <col min="14340" max="14340" width="1.140625" style="245" customWidth="1"/>
    <col min="14341" max="14342" width="6.140625" style="245" customWidth="1"/>
    <col min="14343" max="14343" width="5.7109375" style="245" customWidth="1"/>
    <col min="14344" max="14344" width="5" style="245" customWidth="1"/>
    <col min="14345" max="14346" width="5.5703125" style="245" customWidth="1"/>
    <col min="14347" max="14347" width="1.140625" style="245" customWidth="1"/>
    <col min="14348" max="14348" width="5.5703125" style="245" customWidth="1"/>
    <col min="14349" max="14349" width="2.28515625" style="245" customWidth="1"/>
    <col min="14350" max="14350" width="6.140625" style="245" customWidth="1"/>
    <col min="14351" max="14351" width="5.85546875" style="245" customWidth="1"/>
    <col min="14352" max="14352" width="5.7109375" style="245" customWidth="1"/>
    <col min="14353" max="14357" width="0" style="245" hidden="1" customWidth="1"/>
    <col min="14358" max="14358" width="0.85546875" style="245" customWidth="1"/>
    <col min="14359" max="14359" width="5" style="245" customWidth="1"/>
    <col min="14360" max="14360" width="1" style="245" customWidth="1"/>
    <col min="14361" max="14361" width="8.28515625" style="245" customWidth="1"/>
    <col min="14362" max="14362" width="8.42578125" style="245" customWidth="1"/>
    <col min="14363" max="14363" width="1.42578125" style="245" customWidth="1"/>
    <col min="14364" max="14592" width="9.140625" style="245"/>
    <col min="14593" max="14593" width="1.5703125" style="245" customWidth="1"/>
    <col min="14594" max="14594" width="3.5703125" style="245" customWidth="1"/>
    <col min="14595" max="14595" width="7.5703125" style="245" customWidth="1"/>
    <col min="14596" max="14596" width="1.140625" style="245" customWidth="1"/>
    <col min="14597" max="14598" width="6.140625" style="245" customWidth="1"/>
    <col min="14599" max="14599" width="5.7109375" style="245" customWidth="1"/>
    <col min="14600" max="14600" width="5" style="245" customWidth="1"/>
    <col min="14601" max="14602" width="5.5703125" style="245" customWidth="1"/>
    <col min="14603" max="14603" width="1.140625" style="245" customWidth="1"/>
    <col min="14604" max="14604" width="5.5703125" style="245" customWidth="1"/>
    <col min="14605" max="14605" width="2.28515625" style="245" customWidth="1"/>
    <col min="14606" max="14606" width="6.140625" style="245" customWidth="1"/>
    <col min="14607" max="14607" width="5.85546875" style="245" customWidth="1"/>
    <col min="14608" max="14608" width="5.7109375" style="245" customWidth="1"/>
    <col min="14609" max="14613" width="0" style="245" hidden="1" customWidth="1"/>
    <col min="14614" max="14614" width="0.85546875" style="245" customWidth="1"/>
    <col min="14615" max="14615" width="5" style="245" customWidth="1"/>
    <col min="14616" max="14616" width="1" style="245" customWidth="1"/>
    <col min="14617" max="14617" width="8.28515625" style="245" customWidth="1"/>
    <col min="14618" max="14618" width="8.42578125" style="245" customWidth="1"/>
    <col min="14619" max="14619" width="1.42578125" style="245" customWidth="1"/>
    <col min="14620" max="14848" width="9.140625" style="245"/>
    <col min="14849" max="14849" width="1.5703125" style="245" customWidth="1"/>
    <col min="14850" max="14850" width="3.5703125" style="245" customWidth="1"/>
    <col min="14851" max="14851" width="7.5703125" style="245" customWidth="1"/>
    <col min="14852" max="14852" width="1.140625" style="245" customWidth="1"/>
    <col min="14853" max="14854" width="6.140625" style="245" customWidth="1"/>
    <col min="14855" max="14855" width="5.7109375" style="245" customWidth="1"/>
    <col min="14856" max="14856" width="5" style="245" customWidth="1"/>
    <col min="14857" max="14858" width="5.5703125" style="245" customWidth="1"/>
    <col min="14859" max="14859" width="1.140625" style="245" customWidth="1"/>
    <col min="14860" max="14860" width="5.5703125" style="245" customWidth="1"/>
    <col min="14861" max="14861" width="2.28515625" style="245" customWidth="1"/>
    <col min="14862" max="14862" width="6.140625" style="245" customWidth="1"/>
    <col min="14863" max="14863" width="5.85546875" style="245" customWidth="1"/>
    <col min="14864" max="14864" width="5.7109375" style="245" customWidth="1"/>
    <col min="14865" max="14869" width="0" style="245" hidden="1" customWidth="1"/>
    <col min="14870" max="14870" width="0.85546875" style="245" customWidth="1"/>
    <col min="14871" max="14871" width="5" style="245" customWidth="1"/>
    <col min="14872" max="14872" width="1" style="245" customWidth="1"/>
    <col min="14873" max="14873" width="8.28515625" style="245" customWidth="1"/>
    <col min="14874" max="14874" width="8.42578125" style="245" customWidth="1"/>
    <col min="14875" max="14875" width="1.42578125" style="245" customWidth="1"/>
    <col min="14876" max="15104" width="9.140625" style="245"/>
    <col min="15105" max="15105" width="1.5703125" style="245" customWidth="1"/>
    <col min="15106" max="15106" width="3.5703125" style="245" customWidth="1"/>
    <col min="15107" max="15107" width="7.5703125" style="245" customWidth="1"/>
    <col min="15108" max="15108" width="1.140625" style="245" customWidth="1"/>
    <col min="15109" max="15110" width="6.140625" style="245" customWidth="1"/>
    <col min="15111" max="15111" width="5.7109375" style="245" customWidth="1"/>
    <col min="15112" max="15112" width="5" style="245" customWidth="1"/>
    <col min="15113" max="15114" width="5.5703125" style="245" customWidth="1"/>
    <col min="15115" max="15115" width="1.140625" style="245" customWidth="1"/>
    <col min="15116" max="15116" width="5.5703125" style="245" customWidth="1"/>
    <col min="15117" max="15117" width="2.28515625" style="245" customWidth="1"/>
    <col min="15118" max="15118" width="6.140625" style="245" customWidth="1"/>
    <col min="15119" max="15119" width="5.85546875" style="245" customWidth="1"/>
    <col min="15120" max="15120" width="5.7109375" style="245" customWidth="1"/>
    <col min="15121" max="15125" width="0" style="245" hidden="1" customWidth="1"/>
    <col min="15126" max="15126" width="0.85546875" style="245" customWidth="1"/>
    <col min="15127" max="15127" width="5" style="245" customWidth="1"/>
    <col min="15128" max="15128" width="1" style="245" customWidth="1"/>
    <col min="15129" max="15129" width="8.28515625" style="245" customWidth="1"/>
    <col min="15130" max="15130" width="8.42578125" style="245" customWidth="1"/>
    <col min="15131" max="15131" width="1.42578125" style="245" customWidth="1"/>
    <col min="15132" max="15360" width="9.140625" style="245"/>
    <col min="15361" max="15361" width="1.5703125" style="245" customWidth="1"/>
    <col min="15362" max="15362" width="3.5703125" style="245" customWidth="1"/>
    <col min="15363" max="15363" width="7.5703125" style="245" customWidth="1"/>
    <col min="15364" max="15364" width="1.140625" style="245" customWidth="1"/>
    <col min="15365" max="15366" width="6.140625" style="245" customWidth="1"/>
    <col min="15367" max="15367" width="5.7109375" style="245" customWidth="1"/>
    <col min="15368" max="15368" width="5" style="245" customWidth="1"/>
    <col min="15369" max="15370" width="5.5703125" style="245" customWidth="1"/>
    <col min="15371" max="15371" width="1.140625" style="245" customWidth="1"/>
    <col min="15372" max="15372" width="5.5703125" style="245" customWidth="1"/>
    <col min="15373" max="15373" width="2.28515625" style="245" customWidth="1"/>
    <col min="15374" max="15374" width="6.140625" style="245" customWidth="1"/>
    <col min="15375" max="15375" width="5.85546875" style="245" customWidth="1"/>
    <col min="15376" max="15376" width="5.7109375" style="245" customWidth="1"/>
    <col min="15377" max="15381" width="0" style="245" hidden="1" customWidth="1"/>
    <col min="15382" max="15382" width="0.85546875" style="245" customWidth="1"/>
    <col min="15383" max="15383" width="5" style="245" customWidth="1"/>
    <col min="15384" max="15384" width="1" style="245" customWidth="1"/>
    <col min="15385" max="15385" width="8.28515625" style="245" customWidth="1"/>
    <col min="15386" max="15386" width="8.42578125" style="245" customWidth="1"/>
    <col min="15387" max="15387" width="1.42578125" style="245" customWidth="1"/>
    <col min="15388" max="15616" width="9.140625" style="245"/>
    <col min="15617" max="15617" width="1.5703125" style="245" customWidth="1"/>
    <col min="15618" max="15618" width="3.5703125" style="245" customWidth="1"/>
    <col min="15619" max="15619" width="7.5703125" style="245" customWidth="1"/>
    <col min="15620" max="15620" width="1.140625" style="245" customWidth="1"/>
    <col min="15621" max="15622" width="6.140625" style="245" customWidth="1"/>
    <col min="15623" max="15623" width="5.7109375" style="245" customWidth="1"/>
    <col min="15624" max="15624" width="5" style="245" customWidth="1"/>
    <col min="15625" max="15626" width="5.5703125" style="245" customWidth="1"/>
    <col min="15627" max="15627" width="1.140625" style="245" customWidth="1"/>
    <col min="15628" max="15628" width="5.5703125" style="245" customWidth="1"/>
    <col min="15629" max="15629" width="2.28515625" style="245" customWidth="1"/>
    <col min="15630" max="15630" width="6.140625" style="245" customWidth="1"/>
    <col min="15631" max="15631" width="5.85546875" style="245" customWidth="1"/>
    <col min="15632" max="15632" width="5.7109375" style="245" customWidth="1"/>
    <col min="15633" max="15637" width="0" style="245" hidden="1" customWidth="1"/>
    <col min="15638" max="15638" width="0.85546875" style="245" customWidth="1"/>
    <col min="15639" max="15639" width="5" style="245" customWidth="1"/>
    <col min="15640" max="15640" width="1" style="245" customWidth="1"/>
    <col min="15641" max="15641" width="8.28515625" style="245" customWidth="1"/>
    <col min="15642" max="15642" width="8.42578125" style="245" customWidth="1"/>
    <col min="15643" max="15643" width="1.42578125" style="245" customWidth="1"/>
    <col min="15644" max="15872" width="9.140625" style="245"/>
    <col min="15873" max="15873" width="1.5703125" style="245" customWidth="1"/>
    <col min="15874" max="15874" width="3.5703125" style="245" customWidth="1"/>
    <col min="15875" max="15875" width="7.5703125" style="245" customWidth="1"/>
    <col min="15876" max="15876" width="1.140625" style="245" customWidth="1"/>
    <col min="15877" max="15878" width="6.140625" style="245" customWidth="1"/>
    <col min="15879" max="15879" width="5.7109375" style="245" customWidth="1"/>
    <col min="15880" max="15880" width="5" style="245" customWidth="1"/>
    <col min="15881" max="15882" width="5.5703125" style="245" customWidth="1"/>
    <col min="15883" max="15883" width="1.140625" style="245" customWidth="1"/>
    <col min="15884" max="15884" width="5.5703125" style="245" customWidth="1"/>
    <col min="15885" max="15885" width="2.28515625" style="245" customWidth="1"/>
    <col min="15886" max="15886" width="6.140625" style="245" customWidth="1"/>
    <col min="15887" max="15887" width="5.85546875" style="245" customWidth="1"/>
    <col min="15888" max="15888" width="5.7109375" style="245" customWidth="1"/>
    <col min="15889" max="15893" width="0" style="245" hidden="1" customWidth="1"/>
    <col min="15894" max="15894" width="0.85546875" style="245" customWidth="1"/>
    <col min="15895" max="15895" width="5" style="245" customWidth="1"/>
    <col min="15896" max="15896" width="1" style="245" customWidth="1"/>
    <col min="15897" max="15897" width="8.28515625" style="245" customWidth="1"/>
    <col min="15898" max="15898" width="8.42578125" style="245" customWidth="1"/>
    <col min="15899" max="15899" width="1.42578125" style="245" customWidth="1"/>
    <col min="15900" max="16128" width="9.140625" style="245"/>
    <col min="16129" max="16129" width="1.5703125" style="245" customWidth="1"/>
    <col min="16130" max="16130" width="3.5703125" style="245" customWidth="1"/>
    <col min="16131" max="16131" width="7.5703125" style="245" customWidth="1"/>
    <col min="16132" max="16132" width="1.140625" style="245" customWidth="1"/>
    <col min="16133" max="16134" width="6.140625" style="245" customWidth="1"/>
    <col min="16135" max="16135" width="5.7109375" style="245" customWidth="1"/>
    <col min="16136" max="16136" width="5" style="245" customWidth="1"/>
    <col min="16137" max="16138" width="5.5703125" style="245" customWidth="1"/>
    <col min="16139" max="16139" width="1.140625" style="245" customWidth="1"/>
    <col min="16140" max="16140" width="5.5703125" style="245" customWidth="1"/>
    <col min="16141" max="16141" width="2.28515625" style="245" customWidth="1"/>
    <col min="16142" max="16142" width="6.140625" style="245" customWidth="1"/>
    <col min="16143" max="16143" width="5.85546875" style="245" customWidth="1"/>
    <col min="16144" max="16144" width="5.7109375" style="245" customWidth="1"/>
    <col min="16145" max="16149" width="0" style="245" hidden="1" customWidth="1"/>
    <col min="16150" max="16150" width="0.85546875" style="245" customWidth="1"/>
    <col min="16151" max="16151" width="5" style="245" customWidth="1"/>
    <col min="16152" max="16152" width="1" style="245" customWidth="1"/>
    <col min="16153" max="16153" width="8.28515625" style="245" customWidth="1"/>
    <col min="16154" max="16154" width="8.42578125" style="245" customWidth="1"/>
    <col min="16155" max="16155" width="1.42578125" style="245" customWidth="1"/>
    <col min="16156" max="16384" width="9.140625" style="245"/>
  </cols>
  <sheetData>
    <row r="1" spans="1:26" ht="99" customHeight="1">
      <c r="A1" s="409"/>
      <c r="B1" s="409"/>
      <c r="C1" s="409"/>
      <c r="D1" s="409"/>
      <c r="E1" s="409"/>
    </row>
    <row r="2" spans="1:26" ht="1.5" customHeight="1">
      <c r="A2" s="409"/>
      <c r="B2" s="409"/>
      <c r="C2" s="409"/>
      <c r="D2" s="409"/>
      <c r="E2" s="409"/>
      <c r="H2" s="358"/>
      <c r="U2" s="1196" t="s">
        <v>2</v>
      </c>
      <c r="V2" s="1196"/>
      <c r="W2" s="1196"/>
      <c r="X2" s="1196"/>
      <c r="Y2" s="1196"/>
    </row>
    <row r="3" spans="1:26" ht="0.75" customHeight="1">
      <c r="A3" s="409"/>
      <c r="B3" s="409"/>
      <c r="C3" s="409"/>
      <c r="D3" s="409"/>
      <c r="E3" s="409"/>
      <c r="H3" s="358"/>
      <c r="P3" s="1197"/>
      <c r="Q3" s="1197"/>
      <c r="R3" s="1197"/>
      <c r="S3" s="836"/>
      <c r="T3" s="837"/>
      <c r="U3" s="837"/>
      <c r="V3" s="837"/>
      <c r="W3" s="837"/>
      <c r="X3" s="836"/>
      <c r="Y3" s="585"/>
    </row>
    <row r="4" spans="1:26" ht="1.5" customHeight="1">
      <c r="A4" s="409"/>
      <c r="B4" s="409"/>
      <c r="C4" s="409"/>
      <c r="D4" s="409"/>
      <c r="E4" s="409"/>
      <c r="F4" s="258" t="s">
        <v>2</v>
      </c>
    </row>
    <row r="5" spans="1:26" ht="8.25" hidden="1" customHeight="1">
      <c r="A5" s="409"/>
      <c r="B5" s="409"/>
      <c r="C5" s="409"/>
      <c r="D5" s="409"/>
      <c r="E5" s="409"/>
      <c r="H5" s="409"/>
    </row>
    <row r="6" spans="1:26" ht="3" customHeight="1" thickBot="1">
      <c r="A6" s="409"/>
      <c r="B6" s="409"/>
      <c r="C6" s="409"/>
      <c r="D6" s="409"/>
      <c r="E6" s="409"/>
    </row>
    <row r="7" spans="1:26" ht="13.5" hidden="1" customHeight="1" thickBot="1"/>
    <row r="8" spans="1:26" ht="54" customHeight="1" thickBot="1">
      <c r="E8" s="410" t="s">
        <v>427</v>
      </c>
      <c r="F8" s="1072" t="str">
        <f>[4]APPLICATION!F8</f>
        <v xml:space="preserve"> </v>
      </c>
      <c r="G8" s="1073"/>
      <c r="H8" s="1073"/>
      <c r="I8" s="1073"/>
      <c r="J8" s="1073"/>
      <c r="K8" s="1073"/>
      <c r="L8" s="1073"/>
      <c r="M8" s="1073"/>
      <c r="N8" s="1073"/>
      <c r="O8" s="1073"/>
      <c r="P8" s="1074"/>
      <c r="R8" s="461"/>
      <c r="S8" s="461"/>
      <c r="T8" s="461"/>
      <c r="U8" s="461"/>
      <c r="V8" s="461"/>
      <c r="W8" s="461"/>
      <c r="X8" s="461"/>
      <c r="Y8" s="461"/>
      <c r="Z8" s="461"/>
    </row>
    <row r="9" spans="1:26" ht="6.75" customHeight="1" thickBot="1">
      <c r="E9" s="263"/>
      <c r="R9" s="461"/>
      <c r="S9" s="461"/>
      <c r="T9" s="461"/>
      <c r="U9" s="461"/>
      <c r="V9" s="461"/>
      <c r="W9" s="461"/>
      <c r="X9" s="461"/>
      <c r="Y9" s="461"/>
      <c r="Z9" s="461"/>
    </row>
    <row r="10" spans="1:26" ht="15.75" customHeight="1" thickBot="1">
      <c r="E10" s="263" t="s">
        <v>428</v>
      </c>
      <c r="F10" s="1072" t="str">
        <f>[4]APPLICATION!F10</f>
        <v xml:space="preserve"> </v>
      </c>
      <c r="G10" s="1073"/>
      <c r="H10" s="1073"/>
      <c r="I10" s="1073"/>
      <c r="J10" s="1073"/>
      <c r="K10" s="1073"/>
      <c r="L10" s="1073"/>
      <c r="M10" s="1073"/>
      <c r="N10" s="1073"/>
      <c r="O10" s="1073"/>
      <c r="P10" s="1074"/>
      <c r="Q10" s="245" t="s">
        <v>2</v>
      </c>
      <c r="R10" s="461"/>
      <c r="S10" s="461"/>
      <c r="T10" s="461"/>
      <c r="U10" s="461"/>
      <c r="V10" s="461"/>
      <c r="W10" s="461"/>
      <c r="X10" s="461"/>
      <c r="Y10" s="461"/>
      <c r="Z10" s="461"/>
    </row>
    <row r="11" spans="1:26" ht="17.25" customHeight="1" thickBot="1">
      <c r="E11" s="263" t="s">
        <v>429</v>
      </c>
      <c r="F11" s="1072" t="str">
        <f>[4]APPLICATION!F11</f>
        <v xml:space="preserve"> </v>
      </c>
      <c r="G11" s="1073"/>
      <c r="H11" s="1073"/>
      <c r="I11" s="1073"/>
      <c r="J11" s="1073"/>
      <c r="K11" s="1073"/>
      <c r="L11" s="1073"/>
      <c r="M11" s="1073"/>
      <c r="N11" s="1073"/>
      <c r="O11" s="1073"/>
      <c r="P11" s="1074"/>
      <c r="R11" s="461"/>
      <c r="S11" s="461"/>
      <c r="T11" s="461"/>
      <c r="U11" s="461"/>
      <c r="V11" s="461"/>
      <c r="W11" s="461"/>
      <c r="X11" s="461"/>
      <c r="Y11" s="461"/>
      <c r="Z11" s="461"/>
    </row>
    <row r="12" spans="1:26" ht="6.75" customHeight="1" thickBot="1">
      <c r="E12" s="263"/>
      <c r="R12" s="461"/>
      <c r="S12" s="461"/>
      <c r="T12" s="461"/>
      <c r="U12" s="461"/>
      <c r="V12" s="461"/>
      <c r="W12" s="461"/>
      <c r="X12" s="461"/>
      <c r="Y12" s="461"/>
      <c r="Z12" s="461"/>
    </row>
    <row r="13" spans="1:26" ht="15.75" customHeight="1" thickBot="1">
      <c r="B13" s="461"/>
      <c r="C13" s="461"/>
      <c r="D13" s="461"/>
      <c r="E13" s="461"/>
      <c r="F13" s="461"/>
      <c r="G13" s="461"/>
      <c r="H13" s="461"/>
      <c r="I13" s="461"/>
      <c r="M13" s="263" t="s">
        <v>491</v>
      </c>
      <c r="N13" s="847" t="s">
        <v>2</v>
      </c>
      <c r="O13" s="848"/>
      <c r="P13" s="849"/>
      <c r="R13" s="461"/>
      <c r="S13" s="461"/>
      <c r="T13" s="461"/>
      <c r="U13" s="461"/>
      <c r="V13" s="461"/>
      <c r="W13" s="461"/>
      <c r="X13" s="461"/>
      <c r="Y13" s="461"/>
      <c r="Z13" s="461"/>
    </row>
    <row r="14" spans="1:26" ht="6.75" customHeight="1" thickBot="1">
      <c r="E14" s="263"/>
      <c r="M14" s="263"/>
      <c r="R14" s="461"/>
      <c r="S14" s="461"/>
      <c r="T14" s="461"/>
      <c r="U14" s="461"/>
      <c r="V14" s="461"/>
      <c r="W14" s="461"/>
      <c r="X14" s="461"/>
      <c r="Y14" s="461"/>
      <c r="Z14" s="461"/>
    </row>
    <row r="15" spans="1:26" ht="15.75" customHeight="1" thickBot="1">
      <c r="E15" s="263" t="s">
        <v>431</v>
      </c>
      <c r="F15" s="826" t="s">
        <v>2</v>
      </c>
      <c r="G15" s="827"/>
      <c r="H15" s="828"/>
      <c r="M15" s="302" t="s">
        <v>503</v>
      </c>
      <c r="N15" s="1198" t="s">
        <v>2</v>
      </c>
      <c r="O15" s="1199"/>
      <c r="P15" s="1200"/>
      <c r="R15" s="461"/>
      <c r="S15" s="461"/>
      <c r="T15" s="461"/>
      <c r="U15" s="461"/>
      <c r="V15" s="461"/>
      <c r="W15" s="461"/>
      <c r="X15" s="461"/>
      <c r="Y15" s="461"/>
      <c r="Z15" s="461"/>
    </row>
    <row r="16" spans="1:26" ht="4.5" customHeight="1">
      <c r="P16" s="411" t="s">
        <v>55</v>
      </c>
    </row>
    <row r="17" spans="1:60" ht="3" customHeight="1">
      <c r="N17" s="586" t="e">
        <f>#REF!</f>
        <v>#REF!</v>
      </c>
      <c r="O17" s="271" t="s">
        <v>2</v>
      </c>
      <c r="P17" s="272" t="s">
        <v>2</v>
      </c>
      <c r="Q17" s="590"/>
      <c r="Z17" s="590"/>
    </row>
    <row r="18" spans="1:60" ht="3.75" hidden="1" customHeight="1"/>
    <row r="19" spans="1:60" s="256" customFormat="1" ht="2.25" hidden="1" customHeight="1">
      <c r="AB19" s="461"/>
      <c r="AC19" s="461"/>
      <c r="AD19" s="461"/>
      <c r="AE19" s="461"/>
      <c r="AF19" s="461"/>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row>
    <row r="20" spans="1:60" ht="16.5" hidden="1" customHeight="1">
      <c r="C20" s="430"/>
      <c r="E20" s="282"/>
      <c r="Q20" s="342"/>
      <c r="R20" s="342"/>
      <c r="S20" s="342"/>
      <c r="T20" s="587"/>
      <c r="U20" s="587"/>
      <c r="V20" s="587"/>
      <c r="W20" s="587"/>
      <c r="X20" s="587"/>
      <c r="Y20" s="342"/>
      <c r="Z20" s="429"/>
    </row>
    <row r="21" spans="1:60" s="256" customFormat="1" ht="3.75" customHeight="1">
      <c r="AB21" s="461"/>
      <c r="AC21" s="461"/>
      <c r="AD21" s="461"/>
      <c r="AE21" s="461"/>
      <c r="AF21" s="461"/>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row>
    <row r="22" spans="1:60" s="256" customFormat="1" ht="15">
      <c r="B22" s="588" t="s">
        <v>492</v>
      </c>
      <c r="AB22" s="461"/>
      <c r="AC22" s="461"/>
      <c r="AD22" s="461"/>
      <c r="AE22" s="461"/>
      <c r="AF22" s="461"/>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row>
    <row r="23" spans="1:60" s="256" customFormat="1" ht="6" customHeight="1">
      <c r="AB23" s="461"/>
      <c r="AC23" s="461"/>
      <c r="AD23" s="461"/>
      <c r="AE23" s="461"/>
      <c r="AF23" s="461"/>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row>
    <row r="24" spans="1:60" s="256" customFormat="1" ht="49.5" customHeight="1">
      <c r="C24" s="1201" t="s">
        <v>493</v>
      </c>
      <c r="D24" s="1202"/>
      <c r="E24" s="1202"/>
      <c r="F24" s="1202"/>
      <c r="G24" s="1202"/>
      <c r="H24" s="1202"/>
      <c r="I24" s="1203"/>
      <c r="K24" s="761" t="str">
        <f>F8</f>
        <v xml:space="preserve"> </v>
      </c>
      <c r="L24" s="743"/>
      <c r="M24" s="743"/>
      <c r="N24" s="743"/>
      <c r="O24" s="743"/>
      <c r="P24" s="743"/>
      <c r="Q24" s="743"/>
      <c r="R24" s="743"/>
      <c r="S24" s="743"/>
      <c r="T24" s="743"/>
      <c r="U24" s="743"/>
      <c r="V24" s="743"/>
      <c r="W24" s="743"/>
      <c r="X24" s="743"/>
      <c r="Y24" s="743"/>
      <c r="Z24" s="744"/>
      <c r="AB24" s="461"/>
      <c r="AC24" s="461"/>
      <c r="AD24" s="461"/>
      <c r="AE24" s="461"/>
      <c r="AF24" s="461"/>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row>
    <row r="25" spans="1:60" s="256" customFormat="1" ht="49.5" customHeight="1">
      <c r="C25" s="1193" t="s">
        <v>494</v>
      </c>
      <c r="D25" s="1194"/>
      <c r="E25" s="1194"/>
      <c r="F25" s="1194"/>
      <c r="G25" s="1194"/>
      <c r="H25" s="1194"/>
      <c r="I25" s="1195"/>
      <c r="K25" s="742" t="s">
        <v>2</v>
      </c>
      <c r="L25" s="759"/>
      <c r="M25" s="759"/>
      <c r="N25" s="759"/>
      <c r="O25" s="759"/>
      <c r="P25" s="759"/>
      <c r="Q25" s="759"/>
      <c r="R25" s="759"/>
      <c r="S25" s="759"/>
      <c r="T25" s="759"/>
      <c r="U25" s="759"/>
      <c r="V25" s="759"/>
      <c r="W25" s="759"/>
      <c r="X25" s="759"/>
      <c r="Y25" s="759"/>
      <c r="Z25" s="760"/>
      <c r="AB25" s="461"/>
      <c r="AC25" s="461"/>
      <c r="AD25" s="461"/>
      <c r="AE25" s="461"/>
      <c r="AF25" s="461"/>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row>
    <row r="26" spans="1:60" s="256" customFormat="1" ht="49.5" customHeight="1">
      <c r="C26" s="1193" t="s">
        <v>495</v>
      </c>
      <c r="D26" s="1194"/>
      <c r="E26" s="1194"/>
      <c r="F26" s="1194"/>
      <c r="G26" s="1194"/>
      <c r="H26" s="1194"/>
      <c r="I26" s="1195"/>
      <c r="K26" s="761"/>
      <c r="L26" s="743"/>
      <c r="M26" s="743"/>
      <c r="N26" s="743"/>
      <c r="O26" s="743"/>
      <c r="P26" s="743"/>
      <c r="Q26" s="743"/>
      <c r="R26" s="743"/>
      <c r="S26" s="743"/>
      <c r="T26" s="743"/>
      <c r="U26" s="743"/>
      <c r="V26" s="743"/>
      <c r="W26" s="743"/>
      <c r="X26" s="743"/>
      <c r="Y26" s="743"/>
      <c r="Z26" s="744"/>
      <c r="AB26" s="461"/>
      <c r="AC26" s="461"/>
      <c r="AD26" s="461"/>
      <c r="AE26" s="461"/>
      <c r="AF26" s="461"/>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row>
    <row r="27" spans="1:60" s="256" customFormat="1" ht="49.5" customHeight="1">
      <c r="C27" s="1193" t="s">
        <v>496</v>
      </c>
      <c r="D27" s="1194"/>
      <c r="E27" s="1194"/>
      <c r="F27" s="1194"/>
      <c r="G27" s="1194"/>
      <c r="H27" s="1194"/>
      <c r="I27" s="1195"/>
      <c r="K27" s="761" t="s">
        <v>2</v>
      </c>
      <c r="L27" s="743"/>
      <c r="M27" s="743"/>
      <c r="N27" s="743"/>
      <c r="O27" s="743"/>
      <c r="P27" s="743"/>
      <c r="Q27" s="743"/>
      <c r="R27" s="743"/>
      <c r="S27" s="743"/>
      <c r="T27" s="743"/>
      <c r="U27" s="743"/>
      <c r="V27" s="743"/>
      <c r="W27" s="743"/>
      <c r="X27" s="743"/>
      <c r="Y27" s="743"/>
      <c r="Z27" s="744"/>
      <c r="AB27" s="461"/>
      <c r="AC27" s="461"/>
      <c r="AD27" s="461"/>
      <c r="AE27" s="461"/>
      <c r="AF27" s="461"/>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row>
    <row r="28" spans="1:60" s="256" customFormat="1" ht="17.25" hidden="1" customHeight="1">
      <c r="C28" s="1211" t="s">
        <v>2</v>
      </c>
      <c r="D28" s="1212"/>
      <c r="E28" s="1212"/>
      <c r="F28" s="1212"/>
      <c r="G28" s="1212"/>
      <c r="H28" s="1212"/>
      <c r="I28" s="1213"/>
      <c r="K28" s="1214"/>
      <c r="L28" s="1215"/>
      <c r="M28" s="1215"/>
      <c r="N28" s="1215"/>
      <c r="O28" s="1215"/>
      <c r="P28" s="1215"/>
      <c r="Q28" s="1215"/>
      <c r="R28" s="1215"/>
      <c r="S28" s="1215"/>
      <c r="T28" s="1215"/>
      <c r="U28" s="1215"/>
      <c r="V28" s="1215"/>
      <c r="W28" s="1215"/>
      <c r="X28" s="1215"/>
      <c r="Y28" s="1215"/>
      <c r="Z28" s="1216"/>
      <c r="AB28" s="461"/>
      <c r="AC28" s="461"/>
      <c r="AD28" s="461"/>
      <c r="AE28" s="461"/>
      <c r="AF28" s="461"/>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row>
    <row r="29" spans="1:60" s="256" customFormat="1" ht="52.5" customHeight="1">
      <c r="C29" s="1205" t="s">
        <v>2</v>
      </c>
      <c r="D29" s="1205"/>
      <c r="E29" s="1205"/>
      <c r="F29" s="1205"/>
      <c r="G29" s="1205"/>
      <c r="H29" s="1205"/>
      <c r="I29" s="1205"/>
      <c r="K29" s="1206" t="s">
        <v>497</v>
      </c>
      <c r="L29" s="1207"/>
      <c r="M29" s="1207"/>
      <c r="N29" s="1207"/>
      <c r="O29" s="1207"/>
      <c r="P29" s="1207"/>
      <c r="Q29" s="1207"/>
      <c r="R29" s="1207"/>
      <c r="S29" s="1207"/>
      <c r="T29" s="1207"/>
      <c r="U29" s="1207"/>
      <c r="V29" s="1207"/>
      <c r="W29" s="1207"/>
      <c r="X29" s="1207"/>
      <c r="Y29" s="1207"/>
      <c r="Z29" s="1208"/>
      <c r="AB29" s="461"/>
      <c r="AC29" s="461"/>
      <c r="AD29" s="461"/>
      <c r="AE29" s="461"/>
      <c r="AF29" s="461"/>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row>
    <row r="30" spans="1:60" s="256" customFormat="1" ht="5.25" customHeight="1">
      <c r="AB30" s="461"/>
      <c r="AC30" s="461"/>
      <c r="AD30" s="461"/>
      <c r="AE30" s="461"/>
      <c r="AF30" s="461"/>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row>
    <row r="31" spans="1:60" s="256" customFormat="1" ht="26.25">
      <c r="A31" s="453" t="s">
        <v>498</v>
      </c>
      <c r="B31" s="245"/>
      <c r="C31" s="245"/>
      <c r="D31" s="245"/>
      <c r="E31" s="245"/>
      <c r="F31" s="245"/>
      <c r="G31" s="245"/>
      <c r="H31" s="245"/>
      <c r="AB31" s="461"/>
      <c r="AC31" s="461"/>
      <c r="AD31" s="461"/>
      <c r="AE31" s="461"/>
      <c r="AF31" s="461"/>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row>
    <row r="32" spans="1:60" s="256" customFormat="1" ht="6" customHeight="1">
      <c r="A32" s="245"/>
      <c r="B32" s="245"/>
      <c r="C32" s="245"/>
      <c r="D32" s="245"/>
      <c r="E32" s="245"/>
      <c r="F32" s="245"/>
      <c r="G32" s="245"/>
      <c r="H32" s="245"/>
      <c r="AB32" s="461"/>
      <c r="AC32" s="461"/>
      <c r="AD32" s="461"/>
      <c r="AE32" s="461"/>
      <c r="AF32" s="461"/>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row>
    <row r="33" spans="1:60" s="256" customFormat="1" ht="1.5" hidden="1" customHeight="1">
      <c r="A33" s="245"/>
      <c r="B33" s="245"/>
      <c r="C33" s="245"/>
      <c r="D33" s="245"/>
      <c r="E33" s="245"/>
      <c r="F33" s="245"/>
      <c r="G33" s="245"/>
      <c r="H33" s="245"/>
      <c r="AB33" s="461"/>
      <c r="AC33" s="461"/>
      <c r="AD33" s="461"/>
      <c r="AE33" s="461"/>
      <c r="AF33" s="461"/>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row>
    <row r="34" spans="1:60" s="256" customFormat="1" ht="12.75" hidden="1" customHeight="1">
      <c r="A34" s="245"/>
      <c r="B34" s="282" t="s">
        <v>2</v>
      </c>
      <c r="C34" s="245"/>
      <c r="D34" s="245"/>
      <c r="E34" s="245"/>
      <c r="F34" s="245"/>
      <c r="G34" s="245"/>
      <c r="H34" s="245"/>
      <c r="AB34" s="461"/>
      <c r="AC34" s="461"/>
      <c r="AD34" s="461"/>
      <c r="AE34" s="461"/>
      <c r="AF34" s="461"/>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row>
    <row r="35" spans="1:60" s="256" customFormat="1" ht="5.25" customHeight="1">
      <c r="A35" s="245"/>
      <c r="B35" s="282"/>
      <c r="C35" s="245"/>
      <c r="D35" s="245"/>
      <c r="E35" s="245"/>
      <c r="F35" s="245"/>
      <c r="G35" s="245"/>
      <c r="H35" s="245"/>
      <c r="AB35" s="461"/>
      <c r="AC35" s="461"/>
      <c r="AD35" s="461"/>
      <c r="AE35" s="461"/>
      <c r="AF35" s="461"/>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row>
    <row r="36" spans="1:60" s="256" customFormat="1" ht="12.75" customHeight="1">
      <c r="A36" s="1209" t="s">
        <v>499</v>
      </c>
      <c r="B36" s="907"/>
      <c r="C36" s="907"/>
      <c r="D36" s="907"/>
      <c r="E36" s="907"/>
      <c r="F36" s="907"/>
      <c r="G36" s="907"/>
      <c r="H36" s="907"/>
      <c r="I36" s="907"/>
      <c r="J36" s="907"/>
      <c r="K36" s="907"/>
      <c r="L36" s="907"/>
      <c r="M36" s="907"/>
      <c r="N36" s="907"/>
      <c r="O36" s="907"/>
      <c r="P36" s="907"/>
      <c r="Q36" s="907"/>
      <c r="R36" s="907"/>
      <c r="S36" s="907"/>
      <c r="T36" s="907"/>
      <c r="U36" s="907"/>
      <c r="V36" s="907"/>
      <c r="W36" s="907"/>
      <c r="X36" s="907"/>
      <c r="Y36" s="907"/>
      <c r="Z36" s="908"/>
      <c r="AB36" s="461"/>
      <c r="AC36" s="461"/>
      <c r="AD36" s="461"/>
      <c r="AE36" s="461"/>
      <c r="AF36" s="461"/>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row>
    <row r="37" spans="1:60" s="256" customFormat="1" ht="6" customHeight="1">
      <c r="A37" s="245"/>
      <c r="B37" s="282"/>
      <c r="C37" s="245"/>
      <c r="D37" s="245"/>
      <c r="E37" s="245"/>
      <c r="F37" s="245"/>
      <c r="G37" s="245"/>
      <c r="H37" s="245"/>
      <c r="AB37" s="461"/>
      <c r="AC37" s="461"/>
      <c r="AD37" s="461"/>
      <c r="AE37" s="461"/>
      <c r="AF37" s="461"/>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row>
    <row r="38" spans="1:60" s="256" customFormat="1">
      <c r="A38" s="245"/>
      <c r="B38" s="410" t="s">
        <v>388</v>
      </c>
      <c r="C38" s="442"/>
      <c r="D38" s="410" t="s">
        <v>2</v>
      </c>
      <c r="E38" s="528"/>
      <c r="F38" s="245" t="s">
        <v>389</v>
      </c>
      <c r="G38" s="245"/>
      <c r="H38" s="245"/>
      <c r="AB38" s="461"/>
      <c r="AC38" s="461"/>
      <c r="AD38" s="461"/>
      <c r="AE38" s="461"/>
      <c r="AF38" s="461"/>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row>
    <row r="39" spans="1:60" s="256" customFormat="1" ht="4.5" customHeight="1">
      <c r="A39" s="245"/>
      <c r="B39" s="282"/>
      <c r="C39" s="245"/>
      <c r="D39" s="245"/>
      <c r="E39" s="245"/>
      <c r="F39" s="245"/>
      <c r="G39" s="245"/>
      <c r="H39" s="245"/>
      <c r="AB39" s="461"/>
      <c r="AC39" s="461"/>
      <c r="AD39" s="461"/>
      <c r="AE39" s="461"/>
      <c r="AF39" s="461"/>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row>
    <row r="40" spans="1:60" s="256" customFormat="1" ht="4.5" customHeight="1">
      <c r="A40" s="245"/>
      <c r="B40" s="282"/>
      <c r="C40" s="245"/>
      <c r="D40" s="245"/>
      <c r="E40" s="245"/>
      <c r="F40" s="245"/>
      <c r="G40" s="245"/>
      <c r="H40" s="245"/>
      <c r="AB40" s="461"/>
      <c r="AC40" s="461"/>
      <c r="AD40" s="461"/>
      <c r="AE40" s="461"/>
      <c r="AF40" s="461"/>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row>
    <row r="41" spans="1:60" s="256" customFormat="1" ht="44.25" customHeight="1">
      <c r="A41" s="1210" t="s">
        <v>500</v>
      </c>
      <c r="B41" s="1210"/>
      <c r="C41" s="1210"/>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B41" s="461"/>
      <c r="AC41" s="461"/>
      <c r="AD41" s="461"/>
      <c r="AE41" s="461"/>
      <c r="AF41" s="461"/>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row>
    <row r="42" spans="1:60" s="256" customFormat="1" ht="6.75" customHeight="1">
      <c r="A42" s="305"/>
      <c r="B42" s="250"/>
      <c r="C42" s="594"/>
      <c r="D42" s="594"/>
      <c r="E42" s="302"/>
      <c r="F42" s="302"/>
      <c r="G42" s="302"/>
      <c r="H42" s="595"/>
      <c r="AB42" s="461"/>
      <c r="AC42" s="461"/>
      <c r="AD42" s="461"/>
      <c r="AE42" s="461"/>
      <c r="AF42" s="461"/>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row>
    <row r="43" spans="1:60" s="256" customFormat="1" ht="9" customHeight="1">
      <c r="A43" s="437"/>
      <c r="B43" s="437"/>
      <c r="C43" s="437"/>
      <c r="D43" s="437"/>
      <c r="E43" s="437"/>
      <c r="F43" s="437"/>
      <c r="G43" s="437"/>
      <c r="H43" s="437"/>
      <c r="AB43" s="461"/>
      <c r="AC43" s="461"/>
      <c r="AD43" s="461"/>
      <c r="AE43" s="461"/>
      <c r="AF43" s="461"/>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row>
    <row r="44" spans="1:60" s="256" customFormat="1" ht="23.25" customHeight="1">
      <c r="A44" s="534" t="s">
        <v>153</v>
      </c>
      <c r="B44" s="534"/>
      <c r="C44" s="596"/>
      <c r="D44" s="596"/>
      <c r="E44" s="894" t="s">
        <v>2</v>
      </c>
      <c r="F44" s="894"/>
      <c r="G44" s="894"/>
      <c r="H44" s="894"/>
      <c r="I44" s="894"/>
      <c r="J44" s="894"/>
      <c r="K44" s="894"/>
      <c r="L44" s="894"/>
      <c r="M44" s="894"/>
      <c r="N44" s="894"/>
      <c r="O44" s="894"/>
      <c r="Q44" s="256" t="s">
        <v>154</v>
      </c>
      <c r="R44" s="914" t="s">
        <v>2</v>
      </c>
      <c r="S44" s="896"/>
      <c r="T44" s="896"/>
      <c r="U44" s="896"/>
      <c r="V44" s="896"/>
      <c r="W44" s="896"/>
      <c r="X44" s="896"/>
      <c r="Y44" s="896"/>
      <c r="Z44" s="250" t="s">
        <v>490</v>
      </c>
      <c r="AB44" s="461"/>
      <c r="AC44" s="461"/>
      <c r="AD44" s="461"/>
      <c r="AE44" s="461"/>
      <c r="AF44" s="461"/>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row>
    <row r="45" spans="1:60" s="256" customFormat="1" ht="7.5" customHeight="1">
      <c r="A45" s="592"/>
      <c r="B45" s="592"/>
      <c r="C45" s="1204"/>
      <c r="D45" s="1204"/>
      <c r="E45" s="1204"/>
      <c r="F45" s="1204"/>
      <c r="G45" s="1204"/>
      <c r="H45" s="1204"/>
      <c r="AB45" s="461"/>
      <c r="AC45" s="461"/>
      <c r="AD45" s="461"/>
      <c r="AE45" s="461"/>
      <c r="AF45" s="461"/>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row>
    <row r="46" spans="1:60" s="438" customFormat="1" ht="1.5" customHeight="1">
      <c r="A46" s="593"/>
      <c r="B46" s="593"/>
      <c r="C46" s="537"/>
      <c r="D46" s="537"/>
      <c r="E46" s="537"/>
      <c r="F46" s="537"/>
      <c r="G46" s="537"/>
      <c r="H46" s="537"/>
      <c r="AB46" s="589"/>
      <c r="AC46" s="589"/>
      <c r="AD46" s="589"/>
      <c r="AE46" s="589"/>
      <c r="AF46" s="58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row>
    <row r="47" spans="1:60" s="256" customFormat="1" ht="117" customHeight="1">
      <c r="A47" s="302"/>
      <c r="B47" s="302"/>
      <c r="C47" s="540"/>
      <c r="D47" s="540"/>
      <c r="E47" s="540"/>
      <c r="F47" s="540"/>
      <c r="G47" s="540"/>
      <c r="H47" s="540"/>
      <c r="AB47" s="461"/>
      <c r="AC47" s="461"/>
      <c r="AD47" s="461"/>
      <c r="AE47" s="461"/>
      <c r="AF47" s="461"/>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row>
    <row r="48" spans="1:60" s="256" customFormat="1">
      <c r="AB48" s="461"/>
      <c r="AC48" s="461"/>
      <c r="AD48" s="461"/>
      <c r="AE48" s="461"/>
      <c r="AF48" s="461"/>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row>
    <row r="49" spans="28:60" s="256" customFormat="1">
      <c r="AB49" s="461"/>
      <c r="AC49" s="461"/>
      <c r="AD49" s="461"/>
      <c r="AE49" s="461"/>
      <c r="AF49" s="461"/>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row>
    <row r="50" spans="28:60" s="256" customFormat="1">
      <c r="AB50" s="461"/>
      <c r="AC50" s="461"/>
      <c r="AD50" s="461"/>
      <c r="AE50" s="461"/>
      <c r="AF50" s="461"/>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row>
    <row r="51" spans="28:60" s="256" customFormat="1">
      <c r="AB51" s="461"/>
      <c r="AC51" s="461"/>
      <c r="AD51" s="461"/>
      <c r="AE51" s="461"/>
      <c r="AF51" s="461"/>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row>
    <row r="52" spans="28:60" s="256" customFormat="1">
      <c r="AB52" s="461"/>
      <c r="AC52" s="461"/>
      <c r="AD52" s="461"/>
      <c r="AE52" s="461"/>
      <c r="AF52" s="461"/>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row>
    <row r="53" spans="28:60" s="256" customFormat="1">
      <c r="AB53" s="461"/>
      <c r="AC53" s="461"/>
      <c r="AD53" s="461"/>
      <c r="AE53" s="461"/>
      <c r="AF53" s="461"/>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row>
    <row r="54" spans="28:60" s="256" customFormat="1">
      <c r="AB54" s="461"/>
      <c r="AC54" s="461"/>
      <c r="AD54" s="461"/>
      <c r="AE54" s="461"/>
      <c r="AF54" s="461"/>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row>
    <row r="55" spans="28:60" s="256" customFormat="1">
      <c r="AB55" s="461"/>
      <c r="AC55" s="461"/>
      <c r="AD55" s="461"/>
      <c r="AE55" s="461"/>
      <c r="AF55" s="461"/>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row>
    <row r="56" spans="28:60" s="256" customFormat="1">
      <c r="AB56" s="461"/>
      <c r="AC56" s="461"/>
      <c r="AD56" s="461"/>
      <c r="AE56" s="461"/>
      <c r="AF56" s="461"/>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row>
    <row r="57" spans="28:60" s="256" customFormat="1">
      <c r="AB57" s="461"/>
      <c r="AC57" s="461"/>
      <c r="AD57" s="461"/>
      <c r="AE57" s="461"/>
      <c r="AF57" s="461"/>
      <c r="AG57" s="34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row>
    <row r="58" spans="28:60" s="256" customFormat="1">
      <c r="AB58" s="461"/>
      <c r="AC58" s="461"/>
      <c r="AD58" s="461"/>
      <c r="AE58" s="461"/>
      <c r="AF58" s="461"/>
      <c r="AG58" s="342"/>
      <c r="AH58" s="342"/>
      <c r="AI58" s="342"/>
      <c r="AJ58" s="342"/>
      <c r="AK58" s="342"/>
      <c r="AL58" s="342"/>
      <c r="AM58" s="342"/>
      <c r="AN58" s="342"/>
      <c r="AO58" s="342"/>
      <c r="AP58" s="342"/>
      <c r="AQ58" s="342"/>
      <c r="AR58" s="342"/>
      <c r="AS58" s="342"/>
      <c r="AT58" s="342"/>
      <c r="AU58" s="342"/>
      <c r="AV58" s="342"/>
      <c r="AW58" s="342"/>
      <c r="AX58" s="342"/>
      <c r="AY58" s="342"/>
      <c r="AZ58" s="342"/>
      <c r="BA58" s="342"/>
      <c r="BB58" s="342"/>
      <c r="BC58" s="342"/>
      <c r="BD58" s="342"/>
      <c r="BE58" s="342"/>
      <c r="BF58" s="342"/>
      <c r="BG58" s="342"/>
      <c r="BH58" s="342"/>
    </row>
    <row r="59" spans="28:60" s="256" customFormat="1">
      <c r="AB59" s="461"/>
      <c r="AC59" s="461"/>
      <c r="AD59" s="461"/>
      <c r="AE59" s="461"/>
      <c r="AF59" s="461"/>
      <c r="AG59" s="342"/>
      <c r="AH59" s="342"/>
      <c r="AI59" s="342"/>
      <c r="AJ59" s="342"/>
      <c r="AK59" s="342"/>
      <c r="AL59" s="342"/>
      <c r="AM59" s="342"/>
      <c r="AN59" s="342"/>
      <c r="AO59" s="342"/>
      <c r="AP59" s="342"/>
      <c r="AQ59" s="342"/>
      <c r="AR59" s="342"/>
      <c r="AS59" s="342"/>
      <c r="AT59" s="342"/>
      <c r="AU59" s="342"/>
      <c r="AV59" s="342"/>
      <c r="AW59" s="342"/>
      <c r="AX59" s="342"/>
      <c r="AY59" s="342"/>
      <c r="AZ59" s="342"/>
      <c r="BA59" s="342"/>
      <c r="BB59" s="342"/>
      <c r="BC59" s="342"/>
      <c r="BD59" s="342"/>
      <c r="BE59" s="342"/>
      <c r="BF59" s="342"/>
      <c r="BG59" s="342"/>
      <c r="BH59" s="342"/>
    </row>
    <row r="60" spans="28:60" s="256" customFormat="1">
      <c r="AB60" s="461"/>
      <c r="AC60" s="461"/>
      <c r="AD60" s="461"/>
      <c r="AE60" s="461"/>
      <c r="AF60" s="461"/>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row>
    <row r="61" spans="28:60" s="256" customFormat="1">
      <c r="AB61" s="461"/>
      <c r="AC61" s="461"/>
      <c r="AD61" s="461"/>
      <c r="AE61" s="461"/>
      <c r="AF61" s="461"/>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row>
    <row r="62" spans="28:60" s="256" customFormat="1">
      <c r="AB62" s="461"/>
      <c r="AC62" s="461"/>
      <c r="AD62" s="461"/>
      <c r="AE62" s="461"/>
      <c r="AF62" s="461"/>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row>
    <row r="63" spans="28:60" s="256" customFormat="1">
      <c r="AB63" s="461"/>
      <c r="AC63" s="461"/>
      <c r="AD63" s="461"/>
      <c r="AE63" s="461"/>
      <c r="AF63" s="461"/>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row>
    <row r="64" spans="28:60" s="256" customFormat="1">
      <c r="AB64" s="461"/>
      <c r="AC64" s="461"/>
      <c r="AD64" s="461"/>
      <c r="AE64" s="461"/>
      <c r="AF64" s="461"/>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row>
    <row r="65" spans="28:60" s="256" customFormat="1">
      <c r="AB65" s="461"/>
      <c r="AC65" s="461"/>
      <c r="AD65" s="461"/>
      <c r="AE65" s="461"/>
      <c r="AF65" s="461"/>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c r="BE65" s="342"/>
      <c r="BF65" s="342"/>
      <c r="BG65" s="342"/>
      <c r="BH65" s="342"/>
    </row>
    <row r="66" spans="28:60" s="256" customFormat="1">
      <c r="AB66" s="461"/>
      <c r="AC66" s="461"/>
      <c r="AD66" s="461"/>
      <c r="AE66" s="461"/>
      <c r="AF66" s="461"/>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2"/>
    </row>
    <row r="67" spans="28:60" s="256" customFormat="1">
      <c r="AB67" s="461"/>
      <c r="AC67" s="461"/>
      <c r="AD67" s="461"/>
      <c r="AE67" s="461"/>
      <c r="AF67" s="461"/>
      <c r="AG67" s="342"/>
      <c r="AH67" s="342"/>
      <c r="AI67" s="342"/>
      <c r="AJ67" s="342"/>
      <c r="AK67" s="342"/>
      <c r="AL67" s="342"/>
      <c r="AM67" s="342"/>
      <c r="AN67" s="342"/>
      <c r="AO67" s="342"/>
      <c r="AP67" s="342"/>
      <c r="AQ67" s="342"/>
      <c r="AR67" s="342"/>
      <c r="AS67" s="342"/>
      <c r="AT67" s="342"/>
      <c r="AU67" s="342"/>
      <c r="AV67" s="342"/>
      <c r="AW67" s="342"/>
      <c r="AX67" s="342"/>
      <c r="AY67" s="342"/>
      <c r="AZ67" s="342"/>
      <c r="BA67" s="342"/>
      <c r="BB67" s="342"/>
      <c r="BC67" s="342"/>
      <c r="BD67" s="342"/>
      <c r="BE67" s="342"/>
      <c r="BF67" s="342"/>
      <c r="BG67" s="342"/>
      <c r="BH67" s="342"/>
    </row>
    <row r="68" spans="28:60" s="256" customFormat="1">
      <c r="AB68" s="461"/>
      <c r="AC68" s="461"/>
      <c r="AD68" s="461"/>
      <c r="AE68" s="461"/>
      <c r="AF68" s="461"/>
      <c r="AG68" s="342"/>
      <c r="AH68" s="342"/>
      <c r="AI68" s="342"/>
      <c r="AJ68" s="342"/>
      <c r="AK68" s="342"/>
      <c r="AL68" s="342"/>
      <c r="AM68" s="342"/>
      <c r="AN68" s="342"/>
      <c r="AO68" s="342"/>
      <c r="AP68" s="342"/>
      <c r="AQ68" s="342"/>
      <c r="AR68" s="342"/>
      <c r="AS68" s="342"/>
      <c r="AT68" s="342"/>
      <c r="AU68" s="342"/>
      <c r="AV68" s="342"/>
      <c r="AW68" s="342"/>
      <c r="AX68" s="342"/>
      <c r="AY68" s="342"/>
      <c r="AZ68" s="342"/>
      <c r="BA68" s="342"/>
      <c r="BB68" s="342"/>
      <c r="BC68" s="342"/>
      <c r="BD68" s="342"/>
      <c r="BE68" s="342"/>
      <c r="BF68" s="342"/>
      <c r="BG68" s="342"/>
      <c r="BH68" s="342"/>
    </row>
    <row r="69" spans="28:60" s="256" customFormat="1">
      <c r="AB69" s="461"/>
      <c r="AC69" s="461"/>
      <c r="AD69" s="461"/>
      <c r="AE69" s="461"/>
      <c r="AF69" s="461"/>
      <c r="AG69" s="342"/>
      <c r="AH69" s="342"/>
      <c r="AI69" s="342"/>
      <c r="AJ69" s="342"/>
      <c r="AK69" s="342"/>
      <c r="AL69" s="342"/>
      <c r="AM69" s="342"/>
      <c r="AN69" s="342"/>
      <c r="AO69" s="342"/>
      <c r="AP69" s="342"/>
      <c r="AQ69" s="342"/>
      <c r="AR69" s="342"/>
      <c r="AS69" s="342"/>
      <c r="AT69" s="342"/>
      <c r="AU69" s="342"/>
      <c r="AV69" s="342"/>
      <c r="AW69" s="342"/>
      <c r="AX69" s="342"/>
      <c r="AY69" s="342"/>
      <c r="AZ69" s="342"/>
      <c r="BA69" s="342"/>
      <c r="BB69" s="342"/>
      <c r="BC69" s="342"/>
      <c r="BD69" s="342"/>
      <c r="BE69" s="342"/>
      <c r="BF69" s="342"/>
      <c r="BG69" s="342"/>
      <c r="BH69" s="342"/>
    </row>
    <row r="70" spans="28:60" s="256" customFormat="1">
      <c r="AB70" s="461"/>
      <c r="AC70" s="461"/>
      <c r="AD70" s="461"/>
      <c r="AE70" s="461"/>
      <c r="AF70" s="461"/>
      <c r="AG70" s="342"/>
      <c r="AH70" s="342"/>
      <c r="AI70" s="342"/>
      <c r="AJ70" s="342"/>
      <c r="AK70" s="342"/>
      <c r="AL70" s="342"/>
      <c r="AM70" s="342"/>
      <c r="AN70" s="342"/>
      <c r="AO70" s="342"/>
      <c r="AP70" s="342"/>
      <c r="AQ70" s="342"/>
      <c r="AR70" s="342"/>
      <c r="AS70" s="342"/>
      <c r="AT70" s="342"/>
      <c r="AU70" s="342"/>
      <c r="AV70" s="342"/>
      <c r="AW70" s="342"/>
      <c r="AX70" s="342"/>
      <c r="AY70" s="342"/>
      <c r="AZ70" s="342"/>
      <c r="BA70" s="342"/>
      <c r="BB70" s="342"/>
      <c r="BC70" s="342"/>
      <c r="BD70" s="342"/>
      <c r="BE70" s="342"/>
      <c r="BF70" s="342"/>
      <c r="BG70" s="342"/>
      <c r="BH70" s="342"/>
    </row>
    <row r="71" spans="28:60" s="256" customFormat="1">
      <c r="AB71" s="461"/>
      <c r="AC71" s="461"/>
      <c r="AD71" s="461"/>
      <c r="AE71" s="461"/>
      <c r="AF71" s="461"/>
      <c r="AG71" s="34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342"/>
      <c r="BE71" s="342"/>
      <c r="BF71" s="342"/>
      <c r="BG71" s="342"/>
      <c r="BH71" s="342"/>
    </row>
    <row r="72" spans="28:60" s="256" customFormat="1">
      <c r="AB72" s="461"/>
      <c r="AC72" s="461"/>
      <c r="AD72" s="461"/>
      <c r="AE72" s="461"/>
      <c r="AF72" s="461"/>
      <c r="AG72" s="342"/>
      <c r="AH72" s="342"/>
      <c r="AI72" s="342"/>
      <c r="AJ72" s="342"/>
      <c r="AK72" s="342"/>
      <c r="AL72" s="342"/>
      <c r="AM72" s="342"/>
      <c r="AN72" s="342"/>
      <c r="AO72" s="342"/>
      <c r="AP72" s="342"/>
      <c r="AQ72" s="342"/>
      <c r="AR72" s="342"/>
      <c r="AS72" s="342"/>
      <c r="AT72" s="342"/>
      <c r="AU72" s="342"/>
      <c r="AV72" s="342"/>
      <c r="AW72" s="342"/>
      <c r="AX72" s="342"/>
      <c r="AY72" s="342"/>
      <c r="AZ72" s="342"/>
      <c r="BA72" s="342"/>
      <c r="BB72" s="342"/>
      <c r="BC72" s="342"/>
      <c r="BD72" s="342"/>
      <c r="BE72" s="342"/>
      <c r="BF72" s="342"/>
      <c r="BG72" s="342"/>
      <c r="BH72" s="342"/>
    </row>
    <row r="73" spans="28:60" s="256" customFormat="1">
      <c r="AB73" s="461"/>
      <c r="AC73" s="461"/>
      <c r="AD73" s="461"/>
      <c r="AE73" s="461"/>
      <c r="AF73" s="461"/>
      <c r="AG73" s="342"/>
      <c r="AH73" s="342"/>
      <c r="AI73" s="342"/>
      <c r="AJ73" s="342"/>
      <c r="AK73" s="342"/>
      <c r="AL73" s="342"/>
      <c r="AM73" s="342"/>
      <c r="AN73" s="342"/>
      <c r="AO73" s="342"/>
      <c r="AP73" s="342"/>
      <c r="AQ73" s="342"/>
      <c r="AR73" s="342"/>
      <c r="AS73" s="342"/>
      <c r="AT73" s="342"/>
      <c r="AU73" s="342"/>
      <c r="AV73" s="342"/>
      <c r="AW73" s="342"/>
      <c r="AX73" s="342"/>
      <c r="AY73" s="342"/>
      <c r="AZ73" s="342"/>
      <c r="BA73" s="342"/>
      <c r="BB73" s="342"/>
      <c r="BC73" s="342"/>
      <c r="BD73" s="342"/>
      <c r="BE73" s="342"/>
      <c r="BF73" s="342"/>
      <c r="BG73" s="342"/>
      <c r="BH73" s="342"/>
    </row>
    <row r="74" spans="28:60" s="256" customFormat="1">
      <c r="AB74" s="461"/>
      <c r="AC74" s="461"/>
      <c r="AD74" s="461"/>
      <c r="AE74" s="461"/>
      <c r="AF74" s="461"/>
      <c r="AG74" s="342"/>
      <c r="AH74" s="342"/>
      <c r="AI74" s="342"/>
      <c r="AJ74" s="342"/>
      <c r="AK74" s="342"/>
      <c r="AL74" s="342"/>
      <c r="AM74" s="342"/>
      <c r="AN74" s="342"/>
      <c r="AO74" s="342"/>
      <c r="AP74" s="342"/>
      <c r="AQ74" s="342"/>
      <c r="AR74" s="342"/>
      <c r="AS74" s="342"/>
      <c r="AT74" s="342"/>
      <c r="AU74" s="342"/>
      <c r="AV74" s="342"/>
      <c r="AW74" s="342"/>
      <c r="AX74" s="342"/>
      <c r="AY74" s="342"/>
      <c r="AZ74" s="342"/>
      <c r="BA74" s="342"/>
      <c r="BB74" s="342"/>
      <c r="BC74" s="342"/>
      <c r="BD74" s="342"/>
      <c r="BE74" s="342"/>
      <c r="BF74" s="342"/>
      <c r="BG74" s="342"/>
      <c r="BH74" s="342"/>
    </row>
    <row r="75" spans="28:60" s="256" customFormat="1">
      <c r="AB75" s="461"/>
      <c r="AC75" s="461"/>
      <c r="AD75" s="461"/>
      <c r="AE75" s="461"/>
      <c r="AF75" s="461"/>
      <c r="AG75" s="342"/>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2"/>
      <c r="BE75" s="342"/>
      <c r="BF75" s="342"/>
      <c r="BG75" s="342"/>
      <c r="BH75" s="342"/>
    </row>
    <row r="76" spans="28:60" s="256" customFormat="1">
      <c r="AB76" s="461"/>
      <c r="AC76" s="461"/>
      <c r="AD76" s="461"/>
      <c r="AE76" s="461"/>
      <c r="AF76" s="461"/>
      <c r="AG76" s="342"/>
      <c r="AH76" s="342"/>
      <c r="AI76" s="342"/>
      <c r="AJ76" s="342"/>
      <c r="AK76" s="342"/>
      <c r="AL76" s="342"/>
      <c r="AM76" s="342"/>
      <c r="AN76" s="342"/>
      <c r="AO76" s="342"/>
      <c r="AP76" s="342"/>
      <c r="AQ76" s="342"/>
      <c r="AR76" s="342"/>
      <c r="AS76" s="342"/>
      <c r="AT76" s="342"/>
      <c r="AU76" s="342"/>
      <c r="AV76" s="342"/>
      <c r="AW76" s="342"/>
      <c r="AX76" s="342"/>
      <c r="AY76" s="342"/>
      <c r="AZ76" s="342"/>
      <c r="BA76" s="342"/>
      <c r="BB76" s="342"/>
      <c r="BC76" s="342"/>
      <c r="BD76" s="342"/>
      <c r="BE76" s="342"/>
      <c r="BF76" s="342"/>
      <c r="BG76" s="342"/>
      <c r="BH76" s="342"/>
    </row>
    <row r="77" spans="28:60" s="256" customFormat="1">
      <c r="AB77" s="461"/>
      <c r="AC77" s="461"/>
      <c r="AD77" s="461"/>
      <c r="AE77" s="461"/>
      <c r="AF77" s="461"/>
      <c r="AG77" s="342"/>
      <c r="AH77" s="342"/>
      <c r="AI77" s="342"/>
      <c r="AJ77" s="342"/>
      <c r="AK77" s="342"/>
      <c r="AL77" s="342"/>
      <c r="AM77" s="342"/>
      <c r="AN77" s="342"/>
      <c r="AO77" s="342"/>
      <c r="AP77" s="342"/>
      <c r="AQ77" s="342"/>
      <c r="AR77" s="342"/>
      <c r="AS77" s="342"/>
      <c r="AT77" s="342"/>
      <c r="AU77" s="342"/>
      <c r="AV77" s="342"/>
      <c r="AW77" s="342"/>
      <c r="AX77" s="342"/>
      <c r="AY77" s="342"/>
      <c r="AZ77" s="342"/>
      <c r="BA77" s="342"/>
      <c r="BB77" s="342"/>
      <c r="BC77" s="342"/>
      <c r="BD77" s="342"/>
      <c r="BE77" s="342"/>
      <c r="BF77" s="342"/>
      <c r="BG77" s="342"/>
      <c r="BH77" s="342"/>
    </row>
    <row r="78" spans="28:60" s="256" customFormat="1">
      <c r="AB78" s="461"/>
      <c r="AC78" s="461"/>
      <c r="AD78" s="461"/>
      <c r="AE78" s="461"/>
      <c r="AF78" s="461"/>
      <c r="AG78" s="342"/>
      <c r="AH78" s="342"/>
      <c r="AI78" s="342"/>
      <c r="AJ78" s="342"/>
      <c r="AK78" s="342"/>
      <c r="AL78" s="342"/>
      <c r="AM78" s="342"/>
      <c r="AN78" s="342"/>
      <c r="AO78" s="342"/>
      <c r="AP78" s="342"/>
      <c r="AQ78" s="342"/>
      <c r="AR78" s="342"/>
      <c r="AS78" s="342"/>
      <c r="AT78" s="342"/>
      <c r="AU78" s="342"/>
      <c r="AV78" s="342"/>
      <c r="AW78" s="342"/>
      <c r="AX78" s="342"/>
      <c r="AY78" s="342"/>
      <c r="AZ78" s="342"/>
      <c r="BA78" s="342"/>
      <c r="BB78" s="342"/>
      <c r="BC78" s="342"/>
      <c r="BD78" s="342"/>
      <c r="BE78" s="342"/>
      <c r="BF78" s="342"/>
      <c r="BG78" s="342"/>
      <c r="BH78" s="342"/>
    </row>
    <row r="79" spans="28:60" s="256" customFormat="1">
      <c r="AB79" s="461"/>
      <c r="AC79" s="461"/>
      <c r="AD79" s="461"/>
      <c r="AE79" s="461"/>
      <c r="AF79" s="461"/>
      <c r="AG79" s="342"/>
      <c r="AH79" s="342"/>
      <c r="AI79" s="342"/>
      <c r="AJ79" s="342"/>
      <c r="AK79" s="342"/>
      <c r="AL79" s="342"/>
      <c r="AM79" s="342"/>
      <c r="AN79" s="342"/>
      <c r="AO79" s="342"/>
      <c r="AP79" s="342"/>
      <c r="AQ79" s="342"/>
      <c r="AR79" s="342"/>
      <c r="AS79" s="342"/>
      <c r="AT79" s="342"/>
      <c r="AU79" s="342"/>
      <c r="AV79" s="342"/>
      <c r="AW79" s="342"/>
      <c r="AX79" s="342"/>
      <c r="AY79" s="342"/>
      <c r="AZ79" s="342"/>
      <c r="BA79" s="342"/>
      <c r="BB79" s="342"/>
      <c r="BC79" s="342"/>
      <c r="BD79" s="342"/>
      <c r="BE79" s="342"/>
      <c r="BF79" s="342"/>
      <c r="BG79" s="342"/>
      <c r="BH79" s="342"/>
    </row>
    <row r="80" spans="28:60" s="256" customFormat="1">
      <c r="AB80" s="461"/>
      <c r="AC80" s="461"/>
      <c r="AD80" s="461"/>
      <c r="AE80" s="461"/>
      <c r="AF80" s="461"/>
      <c r="AG80" s="342"/>
      <c r="AH80" s="342"/>
      <c r="AI80" s="342"/>
      <c r="AJ80" s="342"/>
      <c r="AK80" s="342"/>
      <c r="AL80" s="342"/>
      <c r="AM80" s="342"/>
      <c r="AN80" s="342"/>
      <c r="AO80" s="342"/>
      <c r="AP80" s="342"/>
      <c r="AQ80" s="342"/>
      <c r="AR80" s="342"/>
      <c r="AS80" s="342"/>
      <c r="AT80" s="342"/>
      <c r="AU80" s="342"/>
      <c r="AV80" s="342"/>
      <c r="AW80" s="342"/>
      <c r="AX80" s="342"/>
      <c r="AY80" s="342"/>
      <c r="AZ80" s="342"/>
      <c r="BA80" s="342"/>
      <c r="BB80" s="342"/>
      <c r="BC80" s="342"/>
      <c r="BD80" s="342"/>
      <c r="BE80" s="342"/>
      <c r="BF80" s="342"/>
      <c r="BG80" s="342"/>
      <c r="BH80" s="342"/>
    </row>
    <row r="81" spans="28:60" s="256" customFormat="1">
      <c r="AB81" s="461"/>
      <c r="AC81" s="461"/>
      <c r="AD81" s="461"/>
      <c r="AE81" s="461"/>
      <c r="AF81" s="461"/>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42"/>
      <c r="BC81" s="342"/>
      <c r="BD81" s="342"/>
      <c r="BE81" s="342"/>
      <c r="BF81" s="342"/>
      <c r="BG81" s="342"/>
      <c r="BH81" s="342"/>
    </row>
    <row r="82" spans="28:60" s="256" customFormat="1">
      <c r="AB82" s="461"/>
      <c r="AC82" s="461"/>
      <c r="AD82" s="461"/>
      <c r="AE82" s="461"/>
      <c r="AF82" s="461"/>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c r="BG82" s="342"/>
      <c r="BH82" s="342"/>
    </row>
    <row r="83" spans="28:60" s="256" customFormat="1">
      <c r="AB83" s="461"/>
      <c r="AC83" s="461"/>
      <c r="AD83" s="461"/>
      <c r="AE83" s="461"/>
      <c r="AF83" s="461"/>
      <c r="AG83" s="342"/>
      <c r="AH83" s="342"/>
      <c r="AI83" s="342"/>
      <c r="AJ83" s="342"/>
      <c r="AK83" s="342"/>
      <c r="AL83" s="342"/>
      <c r="AM83" s="342"/>
      <c r="AN83" s="342"/>
      <c r="AO83" s="342"/>
      <c r="AP83" s="342"/>
      <c r="AQ83" s="342"/>
      <c r="AR83" s="342"/>
      <c r="AS83" s="342"/>
      <c r="AT83" s="342"/>
      <c r="AU83" s="342"/>
      <c r="AV83" s="342"/>
      <c r="AW83" s="342"/>
      <c r="AX83" s="342"/>
      <c r="AY83" s="342"/>
      <c r="AZ83" s="342"/>
      <c r="BA83" s="342"/>
      <c r="BB83" s="342"/>
      <c r="BC83" s="342"/>
      <c r="BD83" s="342"/>
      <c r="BE83" s="342"/>
      <c r="BF83" s="342"/>
      <c r="BG83" s="342"/>
      <c r="BH83" s="342"/>
    </row>
    <row r="84" spans="28:60" s="256" customFormat="1">
      <c r="AB84" s="461"/>
      <c r="AC84" s="461"/>
      <c r="AD84" s="461"/>
      <c r="AE84" s="461"/>
      <c r="AF84" s="461"/>
      <c r="AG84" s="342"/>
      <c r="AH84" s="342"/>
      <c r="AI84" s="342"/>
      <c r="AJ84" s="342"/>
      <c r="AK84" s="342"/>
      <c r="AL84" s="342"/>
      <c r="AM84" s="342"/>
      <c r="AN84" s="342"/>
      <c r="AO84" s="342"/>
      <c r="AP84" s="342"/>
      <c r="AQ84" s="342"/>
      <c r="AR84" s="342"/>
      <c r="AS84" s="342"/>
      <c r="AT84" s="342"/>
      <c r="AU84" s="342"/>
      <c r="AV84" s="342"/>
      <c r="AW84" s="342"/>
      <c r="AX84" s="342"/>
      <c r="AY84" s="342"/>
      <c r="AZ84" s="342"/>
      <c r="BA84" s="342"/>
      <c r="BB84" s="342"/>
      <c r="BC84" s="342"/>
      <c r="BD84" s="342"/>
      <c r="BE84" s="342"/>
      <c r="BF84" s="342"/>
      <c r="BG84" s="342"/>
      <c r="BH84" s="342"/>
    </row>
    <row r="85" spans="28:60" s="256" customFormat="1">
      <c r="AB85" s="461"/>
      <c r="AC85" s="461"/>
      <c r="AD85" s="461"/>
      <c r="AE85" s="461"/>
      <c r="AF85" s="461"/>
      <c r="AG85" s="342"/>
      <c r="AH85" s="342"/>
      <c r="AI85" s="342"/>
      <c r="AJ85" s="342"/>
      <c r="AK85" s="342"/>
      <c r="AL85" s="342"/>
      <c r="AM85" s="342"/>
      <c r="AN85" s="342"/>
      <c r="AO85" s="342"/>
      <c r="AP85" s="342"/>
      <c r="AQ85" s="342"/>
      <c r="AR85" s="342"/>
      <c r="AS85" s="342"/>
      <c r="AT85" s="342"/>
      <c r="AU85" s="342"/>
      <c r="AV85" s="342"/>
      <c r="AW85" s="342"/>
      <c r="AX85" s="342"/>
      <c r="AY85" s="342"/>
      <c r="AZ85" s="342"/>
      <c r="BA85" s="342"/>
      <c r="BB85" s="342"/>
      <c r="BC85" s="342"/>
      <c r="BD85" s="342"/>
      <c r="BE85" s="342"/>
      <c r="BF85" s="342"/>
      <c r="BG85" s="342"/>
      <c r="BH85" s="342"/>
    </row>
    <row r="86" spans="28:60" s="256" customFormat="1">
      <c r="AB86" s="461"/>
      <c r="AC86" s="461"/>
      <c r="AD86" s="461"/>
      <c r="AE86" s="461"/>
      <c r="AF86" s="461"/>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2"/>
      <c r="BE86" s="342"/>
      <c r="BF86" s="342"/>
      <c r="BG86" s="342"/>
      <c r="BH86" s="342"/>
    </row>
    <row r="87" spans="28:60" s="256" customFormat="1">
      <c r="AB87" s="461"/>
      <c r="AC87" s="461"/>
      <c r="AD87" s="461"/>
      <c r="AE87" s="461"/>
      <c r="AF87" s="461"/>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2"/>
      <c r="BE87" s="342"/>
      <c r="BF87" s="342"/>
      <c r="BG87" s="342"/>
      <c r="BH87" s="342"/>
    </row>
    <row r="88" spans="28:60" s="256" customFormat="1">
      <c r="AB88" s="461"/>
      <c r="AC88" s="461"/>
      <c r="AD88" s="461"/>
      <c r="AE88" s="461"/>
      <c r="AF88" s="461"/>
      <c r="AG88" s="342"/>
      <c r="AH88" s="342"/>
      <c r="AI88" s="342"/>
      <c r="AJ88" s="342"/>
      <c r="AK88" s="342"/>
      <c r="AL88" s="342"/>
      <c r="AM88" s="342"/>
      <c r="AN88" s="342"/>
      <c r="AO88" s="342"/>
      <c r="AP88" s="342"/>
      <c r="AQ88" s="342"/>
      <c r="AR88" s="342"/>
      <c r="AS88" s="342"/>
      <c r="AT88" s="342"/>
      <c r="AU88" s="342"/>
      <c r="AV88" s="342"/>
      <c r="AW88" s="342"/>
      <c r="AX88" s="342"/>
      <c r="AY88" s="342"/>
      <c r="AZ88" s="342"/>
      <c r="BA88" s="342"/>
      <c r="BB88" s="342"/>
      <c r="BC88" s="342"/>
      <c r="BD88" s="342"/>
      <c r="BE88" s="342"/>
      <c r="BF88" s="342"/>
      <c r="BG88" s="342"/>
      <c r="BH88" s="342"/>
    </row>
    <row r="89" spans="28:60" s="256" customFormat="1">
      <c r="AB89" s="461"/>
      <c r="AC89" s="461"/>
      <c r="AD89" s="461"/>
      <c r="AE89" s="461"/>
      <c r="AF89" s="461"/>
      <c r="AG89" s="342"/>
      <c r="AH89" s="342"/>
      <c r="AI89" s="342"/>
      <c r="AJ89" s="342"/>
      <c r="AK89" s="342"/>
      <c r="AL89" s="342"/>
      <c r="AM89" s="342"/>
      <c r="AN89" s="342"/>
      <c r="AO89" s="342"/>
      <c r="AP89" s="342"/>
      <c r="AQ89" s="342"/>
      <c r="AR89" s="342"/>
      <c r="AS89" s="342"/>
      <c r="AT89" s="342"/>
      <c r="AU89" s="342"/>
      <c r="AV89" s="342"/>
      <c r="AW89" s="342"/>
      <c r="AX89" s="342"/>
      <c r="AY89" s="342"/>
      <c r="AZ89" s="342"/>
      <c r="BA89" s="342"/>
      <c r="BB89" s="342"/>
      <c r="BC89" s="342"/>
      <c r="BD89" s="342"/>
      <c r="BE89" s="342"/>
      <c r="BF89" s="342"/>
      <c r="BG89" s="342"/>
      <c r="BH89" s="342"/>
    </row>
    <row r="90" spans="28:60" s="256" customFormat="1">
      <c r="AB90" s="461"/>
      <c r="AC90" s="461"/>
      <c r="AD90" s="461"/>
      <c r="AE90" s="461"/>
      <c r="AF90" s="461"/>
      <c r="AG90" s="342"/>
      <c r="AH90" s="342"/>
      <c r="AI90" s="342"/>
      <c r="AJ90" s="342"/>
      <c r="AK90" s="342"/>
      <c r="AL90" s="342"/>
      <c r="AM90" s="342"/>
      <c r="AN90" s="342"/>
      <c r="AO90" s="342"/>
      <c r="AP90" s="342"/>
      <c r="AQ90" s="342"/>
      <c r="AR90" s="342"/>
      <c r="AS90" s="342"/>
      <c r="AT90" s="342"/>
      <c r="AU90" s="342"/>
      <c r="AV90" s="342"/>
      <c r="AW90" s="342"/>
      <c r="AX90" s="342"/>
      <c r="AY90" s="342"/>
      <c r="AZ90" s="342"/>
      <c r="BA90" s="342"/>
      <c r="BB90" s="342"/>
      <c r="BC90" s="342"/>
      <c r="BD90" s="342"/>
      <c r="BE90" s="342"/>
      <c r="BF90" s="342"/>
      <c r="BG90" s="342"/>
      <c r="BH90" s="342"/>
    </row>
    <row r="91" spans="28:60" s="256" customFormat="1">
      <c r="AB91" s="461"/>
      <c r="AC91" s="461"/>
      <c r="AD91" s="461"/>
      <c r="AE91" s="461"/>
      <c r="AF91" s="461"/>
      <c r="AG91" s="342"/>
      <c r="AH91" s="342"/>
      <c r="AI91" s="342"/>
      <c r="AJ91" s="342"/>
      <c r="AK91" s="342"/>
      <c r="AL91" s="342"/>
      <c r="AM91" s="342"/>
      <c r="AN91" s="342"/>
      <c r="AO91" s="342"/>
      <c r="AP91" s="342"/>
      <c r="AQ91" s="342"/>
      <c r="AR91" s="342"/>
      <c r="AS91" s="342"/>
      <c r="AT91" s="342"/>
      <c r="AU91" s="342"/>
      <c r="AV91" s="342"/>
      <c r="AW91" s="342"/>
      <c r="AX91" s="342"/>
      <c r="AY91" s="342"/>
      <c r="AZ91" s="342"/>
      <c r="BA91" s="342"/>
      <c r="BB91" s="342"/>
      <c r="BC91" s="342"/>
      <c r="BD91" s="342"/>
      <c r="BE91" s="342"/>
      <c r="BF91" s="342"/>
      <c r="BG91" s="342"/>
      <c r="BH91" s="342"/>
    </row>
    <row r="92" spans="28:60" s="256" customFormat="1">
      <c r="AB92" s="461"/>
      <c r="AC92" s="461"/>
      <c r="AD92" s="461"/>
      <c r="AE92" s="461"/>
      <c r="AF92" s="461"/>
      <c r="AG92" s="342"/>
      <c r="AH92" s="342"/>
      <c r="AI92" s="342"/>
      <c r="AJ92" s="342"/>
      <c r="AK92" s="342"/>
      <c r="AL92" s="342"/>
      <c r="AM92" s="342"/>
      <c r="AN92" s="342"/>
      <c r="AO92" s="342"/>
      <c r="AP92" s="342"/>
      <c r="AQ92" s="342"/>
      <c r="AR92" s="342"/>
      <c r="AS92" s="342"/>
      <c r="AT92" s="342"/>
      <c r="AU92" s="342"/>
      <c r="AV92" s="342"/>
      <c r="AW92" s="342"/>
      <c r="AX92" s="342"/>
      <c r="AY92" s="342"/>
      <c r="AZ92" s="342"/>
      <c r="BA92" s="342"/>
      <c r="BB92" s="342"/>
      <c r="BC92" s="342"/>
      <c r="BD92" s="342"/>
      <c r="BE92" s="342"/>
      <c r="BF92" s="342"/>
      <c r="BG92" s="342"/>
      <c r="BH92" s="342"/>
    </row>
    <row r="93" spans="28:60" s="256" customFormat="1">
      <c r="AB93" s="461"/>
      <c r="AC93" s="461"/>
      <c r="AD93" s="461"/>
      <c r="AE93" s="461"/>
      <c r="AF93" s="461"/>
      <c r="AG93" s="342"/>
      <c r="AH93" s="342"/>
      <c r="AI93" s="342"/>
      <c r="AJ93" s="342"/>
      <c r="AK93" s="342"/>
      <c r="AL93" s="342"/>
      <c r="AM93" s="342"/>
      <c r="AN93" s="342"/>
      <c r="AO93" s="342"/>
      <c r="AP93" s="342"/>
      <c r="AQ93" s="342"/>
      <c r="AR93" s="342"/>
      <c r="AS93" s="342"/>
      <c r="AT93" s="342"/>
      <c r="AU93" s="342"/>
      <c r="AV93" s="342"/>
      <c r="AW93" s="342"/>
      <c r="AX93" s="342"/>
      <c r="AY93" s="342"/>
      <c r="AZ93" s="342"/>
      <c r="BA93" s="342"/>
      <c r="BB93" s="342"/>
      <c r="BC93" s="342"/>
      <c r="BD93" s="342"/>
      <c r="BE93" s="342"/>
      <c r="BF93" s="342"/>
      <c r="BG93" s="342"/>
      <c r="BH93" s="342"/>
    </row>
    <row r="94" spans="28:60" s="256" customFormat="1">
      <c r="AB94" s="461"/>
      <c r="AC94" s="461"/>
      <c r="AD94" s="461"/>
      <c r="AE94" s="461"/>
      <c r="AF94" s="461"/>
      <c r="AG94" s="342"/>
      <c r="AH94" s="342"/>
      <c r="AI94" s="342"/>
      <c r="AJ94" s="342"/>
      <c r="AK94" s="342"/>
      <c r="AL94" s="342"/>
      <c r="AM94" s="342"/>
      <c r="AN94" s="342"/>
      <c r="AO94" s="342"/>
      <c r="AP94" s="342"/>
      <c r="AQ94" s="342"/>
      <c r="AR94" s="342"/>
      <c r="AS94" s="342"/>
      <c r="AT94" s="342"/>
      <c r="AU94" s="342"/>
      <c r="AV94" s="342"/>
      <c r="AW94" s="342"/>
      <c r="AX94" s="342"/>
      <c r="AY94" s="342"/>
      <c r="AZ94" s="342"/>
      <c r="BA94" s="342"/>
      <c r="BB94" s="342"/>
      <c r="BC94" s="342"/>
      <c r="BD94" s="342"/>
      <c r="BE94" s="342"/>
      <c r="BF94" s="342"/>
      <c r="BG94" s="342"/>
      <c r="BH94" s="342"/>
    </row>
    <row r="95" spans="28:60" s="256" customFormat="1">
      <c r="AB95" s="461"/>
      <c r="AC95" s="461"/>
      <c r="AD95" s="461"/>
      <c r="AE95" s="461"/>
      <c r="AF95" s="461"/>
      <c r="AG95" s="342"/>
      <c r="AH95" s="342"/>
      <c r="AI95" s="342"/>
      <c r="AJ95" s="342"/>
      <c r="AK95" s="342"/>
      <c r="AL95" s="342"/>
      <c r="AM95" s="342"/>
      <c r="AN95" s="342"/>
      <c r="AO95" s="342"/>
      <c r="AP95" s="342"/>
      <c r="AQ95" s="342"/>
      <c r="AR95" s="342"/>
      <c r="AS95" s="342"/>
      <c r="AT95" s="342"/>
      <c r="AU95" s="342"/>
      <c r="AV95" s="342"/>
      <c r="AW95" s="342"/>
      <c r="AX95" s="342"/>
      <c r="AY95" s="342"/>
      <c r="AZ95" s="342"/>
      <c r="BA95" s="342"/>
      <c r="BB95" s="342"/>
      <c r="BC95" s="342"/>
      <c r="BD95" s="342"/>
      <c r="BE95" s="342"/>
      <c r="BF95" s="342"/>
      <c r="BG95" s="342"/>
      <c r="BH95" s="342"/>
    </row>
    <row r="96" spans="28:60" s="256" customFormat="1">
      <c r="AB96" s="461"/>
      <c r="AC96" s="461"/>
      <c r="AD96" s="461"/>
      <c r="AE96" s="461"/>
      <c r="AF96" s="461"/>
      <c r="AG96" s="342"/>
      <c r="AH96" s="342"/>
      <c r="AI96" s="342"/>
      <c r="AJ96" s="342"/>
      <c r="AK96" s="342"/>
      <c r="AL96" s="342"/>
      <c r="AM96" s="342"/>
      <c r="AN96" s="342"/>
      <c r="AO96" s="342"/>
      <c r="AP96" s="342"/>
      <c r="AQ96" s="342"/>
      <c r="AR96" s="342"/>
      <c r="AS96" s="342"/>
      <c r="AT96" s="342"/>
      <c r="AU96" s="342"/>
      <c r="AV96" s="342"/>
      <c r="AW96" s="342"/>
      <c r="AX96" s="342"/>
      <c r="AY96" s="342"/>
      <c r="AZ96" s="342"/>
      <c r="BA96" s="342"/>
      <c r="BB96" s="342"/>
      <c r="BC96" s="342"/>
      <c r="BD96" s="342"/>
      <c r="BE96" s="342"/>
      <c r="BF96" s="342"/>
      <c r="BG96" s="342"/>
      <c r="BH96" s="342"/>
    </row>
    <row r="97" spans="28:60" s="256" customFormat="1">
      <c r="AB97" s="461"/>
      <c r="AC97" s="461"/>
      <c r="AD97" s="461"/>
      <c r="AE97" s="461"/>
      <c r="AF97" s="461"/>
      <c r="AG97" s="342"/>
      <c r="AH97" s="342"/>
      <c r="AI97" s="342"/>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row>
    <row r="98" spans="28:60" s="256" customFormat="1">
      <c r="AB98" s="461"/>
      <c r="AC98" s="461"/>
      <c r="AD98" s="461"/>
      <c r="AE98" s="461"/>
      <c r="AF98" s="461"/>
      <c r="AG98" s="342"/>
      <c r="AH98" s="342"/>
      <c r="AI98" s="342"/>
      <c r="AJ98" s="342"/>
      <c r="AK98" s="342"/>
      <c r="AL98" s="342"/>
      <c r="AM98" s="342"/>
      <c r="AN98" s="342"/>
      <c r="AO98" s="342"/>
      <c r="AP98" s="342"/>
      <c r="AQ98" s="342"/>
      <c r="AR98" s="342"/>
      <c r="AS98" s="342"/>
      <c r="AT98" s="342"/>
      <c r="AU98" s="342"/>
      <c r="AV98" s="342"/>
      <c r="AW98" s="342"/>
      <c r="AX98" s="342"/>
      <c r="AY98" s="342"/>
      <c r="AZ98" s="342"/>
      <c r="BA98" s="342"/>
      <c r="BB98" s="342"/>
      <c r="BC98" s="342"/>
      <c r="BD98" s="342"/>
      <c r="BE98" s="342"/>
      <c r="BF98" s="342"/>
      <c r="BG98" s="342"/>
      <c r="BH98" s="342"/>
    </row>
    <row r="99" spans="28:60" s="256" customFormat="1">
      <c r="AB99" s="461"/>
      <c r="AC99" s="461"/>
      <c r="AD99" s="461"/>
      <c r="AE99" s="461"/>
      <c r="AF99" s="461"/>
      <c r="AG99" s="342"/>
      <c r="AH99" s="342"/>
      <c r="AI99" s="342"/>
      <c r="AJ99" s="342"/>
      <c r="AK99" s="342"/>
      <c r="AL99" s="342"/>
      <c r="AM99" s="342"/>
      <c r="AN99" s="342"/>
      <c r="AO99" s="342"/>
      <c r="AP99" s="342"/>
      <c r="AQ99" s="342"/>
      <c r="AR99" s="342"/>
      <c r="AS99" s="342"/>
      <c r="AT99" s="342"/>
      <c r="AU99" s="342"/>
      <c r="AV99" s="342"/>
      <c r="AW99" s="342"/>
      <c r="AX99" s="342"/>
      <c r="AY99" s="342"/>
      <c r="AZ99" s="342"/>
      <c r="BA99" s="342"/>
      <c r="BB99" s="342"/>
      <c r="BC99" s="342"/>
      <c r="BD99" s="342"/>
      <c r="BE99" s="342"/>
      <c r="BF99" s="342"/>
      <c r="BG99" s="342"/>
      <c r="BH99" s="342"/>
    </row>
    <row r="100" spans="28:60" s="256" customFormat="1">
      <c r="AB100" s="461"/>
      <c r="AC100" s="461"/>
      <c r="AD100" s="461"/>
      <c r="AE100" s="461"/>
      <c r="AF100" s="461"/>
      <c r="AG100" s="342"/>
      <c r="AH100" s="342"/>
      <c r="AI100" s="342"/>
      <c r="AJ100" s="342"/>
      <c r="AK100" s="342"/>
      <c r="AL100" s="342"/>
      <c r="AM100" s="342"/>
      <c r="AN100" s="342"/>
      <c r="AO100" s="342"/>
      <c r="AP100" s="342"/>
      <c r="AQ100" s="342"/>
      <c r="AR100" s="342"/>
      <c r="AS100" s="342"/>
      <c r="AT100" s="342"/>
      <c r="AU100" s="342"/>
      <c r="AV100" s="342"/>
      <c r="AW100" s="342"/>
      <c r="AX100" s="342"/>
      <c r="AY100" s="342"/>
      <c r="AZ100" s="342"/>
      <c r="BA100" s="342"/>
      <c r="BB100" s="342"/>
      <c r="BC100" s="342"/>
      <c r="BD100" s="342"/>
      <c r="BE100" s="342"/>
      <c r="BF100" s="342"/>
      <c r="BG100" s="342"/>
      <c r="BH100" s="342"/>
    </row>
    <row r="101" spans="28:60" s="256" customFormat="1">
      <c r="AB101" s="461"/>
      <c r="AC101" s="461"/>
      <c r="AD101" s="461"/>
      <c r="AE101" s="461"/>
      <c r="AF101" s="461"/>
      <c r="AG101" s="342"/>
      <c r="AH101" s="342"/>
      <c r="AI101" s="342"/>
      <c r="AJ101" s="342"/>
      <c r="AK101" s="342"/>
      <c r="AL101" s="342"/>
      <c r="AM101" s="342"/>
      <c r="AN101" s="342"/>
      <c r="AO101" s="342"/>
      <c r="AP101" s="342"/>
      <c r="AQ101" s="342"/>
      <c r="AR101" s="342"/>
      <c r="AS101" s="342"/>
      <c r="AT101" s="342"/>
      <c r="AU101" s="342"/>
      <c r="AV101" s="342"/>
      <c r="AW101" s="342"/>
      <c r="AX101" s="342"/>
      <c r="AY101" s="342"/>
      <c r="AZ101" s="342"/>
      <c r="BA101" s="342"/>
      <c r="BB101" s="342"/>
      <c r="BC101" s="342"/>
      <c r="BD101" s="342"/>
      <c r="BE101" s="342"/>
      <c r="BF101" s="342"/>
      <c r="BG101" s="342"/>
      <c r="BH101" s="342"/>
    </row>
    <row r="102" spans="28:60" s="256" customFormat="1">
      <c r="AB102" s="461"/>
      <c r="AC102" s="461"/>
      <c r="AD102" s="461"/>
      <c r="AE102" s="461"/>
      <c r="AF102" s="461"/>
      <c r="AG102" s="342"/>
      <c r="AH102" s="342"/>
      <c r="AI102" s="342"/>
      <c r="AJ102" s="342"/>
      <c r="AK102" s="342"/>
      <c r="AL102" s="342"/>
      <c r="AM102" s="342"/>
      <c r="AN102" s="342"/>
      <c r="AO102" s="342"/>
      <c r="AP102" s="342"/>
      <c r="AQ102" s="342"/>
      <c r="AR102" s="342"/>
      <c r="AS102" s="342"/>
      <c r="AT102" s="342"/>
      <c r="AU102" s="342"/>
      <c r="AV102" s="342"/>
      <c r="AW102" s="342"/>
      <c r="AX102" s="342"/>
      <c r="AY102" s="342"/>
      <c r="AZ102" s="342"/>
      <c r="BA102" s="342"/>
      <c r="BB102" s="342"/>
      <c r="BC102" s="342"/>
      <c r="BD102" s="342"/>
      <c r="BE102" s="342"/>
      <c r="BF102" s="342"/>
      <c r="BG102" s="342"/>
      <c r="BH102" s="342"/>
    </row>
  </sheetData>
  <mergeCells count="26">
    <mergeCell ref="K26:Z26"/>
    <mergeCell ref="C27:I27"/>
    <mergeCell ref="K27:Z27"/>
    <mergeCell ref="C45:H45"/>
    <mergeCell ref="C29:I29"/>
    <mergeCell ref="K29:Z29"/>
    <mergeCell ref="A36:Z36"/>
    <mergeCell ref="A41:Z41"/>
    <mergeCell ref="E44:O44"/>
    <mergeCell ref="R44:Y44"/>
    <mergeCell ref="C28:I28"/>
    <mergeCell ref="K28:Z28"/>
    <mergeCell ref="C26:I26"/>
    <mergeCell ref="C25:I25"/>
    <mergeCell ref="K25:Z25"/>
    <mergeCell ref="U2:Y2"/>
    <mergeCell ref="P3:R3"/>
    <mergeCell ref="S3:X3"/>
    <mergeCell ref="F8:P8"/>
    <mergeCell ref="F10:P10"/>
    <mergeCell ref="F11:P11"/>
    <mergeCell ref="N13:P13"/>
    <mergeCell ref="F15:H15"/>
    <mergeCell ref="N15:P15"/>
    <mergeCell ref="C24:I24"/>
    <mergeCell ref="K24:Z24"/>
  </mergeCells>
  <pageMargins left="0.25" right="0.25"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385"/>
  <sheetViews>
    <sheetView workbookViewId="0">
      <selection activeCell="X29" sqref="X29"/>
    </sheetView>
  </sheetViews>
  <sheetFormatPr defaultColWidth="9.140625" defaultRowHeight="12.75"/>
  <cols>
    <col min="1" max="1" width="1.5703125" style="56" customWidth="1"/>
    <col min="2" max="2" width="3.5703125" style="56" customWidth="1"/>
    <col min="3" max="3" width="7.5703125" style="56" customWidth="1"/>
    <col min="4" max="4" width="1.140625" style="56" customWidth="1"/>
    <col min="5" max="6" width="6.140625" style="56" customWidth="1"/>
    <col min="7" max="7" width="5.7109375" style="56" customWidth="1"/>
    <col min="8" max="8" width="5" style="56" customWidth="1"/>
    <col min="9" max="9" width="4.85546875" style="56" customWidth="1"/>
    <col min="10" max="10" width="5.5703125" style="56" customWidth="1"/>
    <col min="11" max="11" width="1.140625" style="56" customWidth="1"/>
    <col min="12" max="12" width="5.5703125" style="56" customWidth="1"/>
    <col min="13" max="13" width="2.28515625" style="56" customWidth="1"/>
    <col min="14" max="14" width="6.140625" style="56" customWidth="1"/>
    <col min="15" max="15" width="5.28515625" style="56" customWidth="1"/>
    <col min="16" max="16" width="5.7109375" style="56" customWidth="1"/>
    <col min="17" max="17" width="6.28515625" style="56" customWidth="1"/>
    <col min="18" max="18" width="14.28515625" style="56" customWidth="1"/>
    <col min="19" max="19" width="0.140625" style="56" customWidth="1"/>
    <col min="20" max="20" width="12.7109375" style="56" customWidth="1"/>
    <col min="21" max="21" width="0.85546875" style="56" customWidth="1"/>
    <col min="22" max="22" width="6" style="56" customWidth="1"/>
    <col min="23" max="23" width="0.85546875" style="56" customWidth="1"/>
    <col min="24" max="24" width="5.5703125" style="56" customWidth="1"/>
    <col min="25" max="25" width="1" style="56" customWidth="1"/>
    <col min="26" max="26" width="5.5703125" style="56" customWidth="1"/>
    <col min="27" max="27" width="10.42578125" style="56" customWidth="1"/>
    <col min="28" max="28" width="1.42578125" style="56" customWidth="1"/>
    <col min="29" max="61" width="9.140625" style="57"/>
    <col min="62" max="151" width="9.140625" style="58"/>
    <col min="152" max="16384" width="9.140625" style="56"/>
  </cols>
  <sheetData>
    <row r="1" spans="3:26" ht="3" customHeight="1" thickBot="1"/>
    <row r="2" spans="3:26" ht="13.5" thickBot="1">
      <c r="H2" s="59"/>
      <c r="V2" s="1280" t="s">
        <v>194</v>
      </c>
      <c r="W2" s="1281"/>
      <c r="X2" s="1281"/>
      <c r="Y2" s="1281"/>
      <c r="Z2" s="1282"/>
    </row>
    <row r="3" spans="3:26">
      <c r="H3" s="59"/>
      <c r="P3" s="1283"/>
      <c r="Q3" s="1283"/>
      <c r="R3" s="1283"/>
      <c r="S3" s="60"/>
      <c r="T3" s="1284"/>
      <c r="U3" s="1285"/>
      <c r="V3" s="1285"/>
      <c r="W3" s="1285"/>
      <c r="X3" s="1285"/>
      <c r="Y3" s="1284"/>
      <c r="Z3" s="61"/>
    </row>
    <row r="4" spans="3:26" ht="33">
      <c r="F4" s="1286" t="s">
        <v>195</v>
      </c>
      <c r="G4" s="1287"/>
      <c r="H4" s="1287"/>
      <c r="I4" s="1287"/>
      <c r="J4" s="1287"/>
      <c r="K4" s="1287"/>
      <c r="L4" s="1287"/>
      <c r="M4" s="1287"/>
      <c r="N4" s="1287"/>
      <c r="O4" s="1287"/>
      <c r="P4" s="1287"/>
      <c r="Q4" s="1287"/>
      <c r="R4" s="1287"/>
      <c r="S4" s="1287"/>
      <c r="T4" s="1287"/>
      <c r="U4" s="1287"/>
      <c r="V4" s="1287"/>
      <c r="W4" s="1287"/>
      <c r="X4" s="1287"/>
      <c r="Y4" s="1287"/>
      <c r="Z4" s="1287"/>
    </row>
    <row r="5" spans="3:26" ht="8.25" customHeight="1">
      <c r="H5" s="62"/>
    </row>
    <row r="6" spans="3:26" ht="3.75" customHeight="1" thickBot="1"/>
    <row r="7" spans="3:26" ht="13.5" hidden="1" thickBot="1"/>
    <row r="8" spans="3:26" ht="36" customHeight="1" thickBot="1">
      <c r="E8" s="63" t="s">
        <v>0</v>
      </c>
      <c r="F8" s="838" t="str">
        <f>'[3]APP - QUESTIONNAIRE'!F8:P8</f>
        <v xml:space="preserve"> </v>
      </c>
      <c r="G8" s="772"/>
      <c r="H8" s="772"/>
      <c r="I8" s="772"/>
      <c r="J8" s="772"/>
      <c r="K8" s="772"/>
      <c r="L8" s="772"/>
      <c r="M8" s="772"/>
      <c r="N8" s="772"/>
      <c r="O8" s="772"/>
      <c r="P8" s="773"/>
      <c r="T8" s="64" t="s">
        <v>1</v>
      </c>
      <c r="V8" s="841" t="e">
        <f>'[3]APP - QUESTIONNAIRE'!U8:Y8</f>
        <v>#REF!</v>
      </c>
      <c r="W8" s="842"/>
      <c r="X8" s="842"/>
      <c r="Y8" s="842"/>
      <c r="Z8" s="843"/>
    </row>
    <row r="9" spans="3:26" ht="6.75" customHeight="1" thickBot="1">
      <c r="E9" s="64"/>
      <c r="T9" s="64"/>
      <c r="X9" s="56" t="s">
        <v>2</v>
      </c>
    </row>
    <row r="10" spans="3:26" ht="15.75" customHeight="1" thickBot="1">
      <c r="E10" s="64" t="s">
        <v>3</v>
      </c>
      <c r="F10" s="811" t="str">
        <f>'[3]APP - QUESTIONNAIRE'!F10:P10</f>
        <v xml:space="preserve"> </v>
      </c>
      <c r="G10" s="812"/>
      <c r="H10" s="812"/>
      <c r="I10" s="812"/>
      <c r="J10" s="812"/>
      <c r="K10" s="812"/>
      <c r="L10" s="812"/>
      <c r="M10" s="812"/>
      <c r="N10" s="812"/>
      <c r="O10" s="812"/>
      <c r="P10" s="813"/>
      <c r="Q10" s="56" t="s">
        <v>2</v>
      </c>
      <c r="T10" s="64"/>
    </row>
    <row r="11" spans="3:26" ht="17.25" customHeight="1" thickBot="1">
      <c r="E11" s="64" t="s">
        <v>4</v>
      </c>
      <c r="F11" s="838" t="str">
        <f>'[3]APP - QUESTIONNAIRE'!F11:P11</f>
        <v xml:space="preserve"> </v>
      </c>
      <c r="G11" s="772"/>
      <c r="H11" s="772"/>
      <c r="I11" s="772"/>
      <c r="J11" s="772"/>
      <c r="K11" s="772"/>
      <c r="L11" s="772"/>
      <c r="M11" s="772"/>
      <c r="N11" s="772"/>
      <c r="O11" s="772"/>
      <c r="P11" s="773"/>
      <c r="T11" s="64" t="s">
        <v>5</v>
      </c>
      <c r="V11" s="841" t="e">
        <f>'[3]APP - QUESTIONNAIRE'!U11:Y11</f>
        <v>#REF!</v>
      </c>
      <c r="W11" s="842"/>
      <c r="X11" s="842"/>
      <c r="Y11" s="842"/>
      <c r="Z11" s="843"/>
    </row>
    <row r="12" spans="3:26" ht="6.75" customHeight="1" thickBot="1">
      <c r="E12" s="64"/>
      <c r="T12" s="64"/>
    </row>
    <row r="13" spans="3:26" ht="15.75" customHeight="1" thickBot="1">
      <c r="C13" s="65"/>
      <c r="D13" s="65"/>
      <c r="E13" s="66" t="s">
        <v>6</v>
      </c>
      <c r="F13" s="1270" t="s">
        <v>2</v>
      </c>
      <c r="G13" s="1271"/>
      <c r="H13" s="1271"/>
      <c r="I13" s="65"/>
      <c r="M13" s="64" t="s">
        <v>71</v>
      </c>
      <c r="N13" s="847" t="s">
        <v>2</v>
      </c>
      <c r="O13" s="848"/>
      <c r="P13" s="849"/>
      <c r="T13" s="64" t="s">
        <v>7</v>
      </c>
      <c r="V13" s="1272" t="e">
        <f>'[3]APP - QUESTIONNAIRE'!U13:Y13</f>
        <v>#REF!</v>
      </c>
      <c r="W13" s="1273"/>
      <c r="X13" s="1273"/>
      <c r="Y13" s="1273"/>
      <c r="Z13" s="1274"/>
    </row>
    <row r="14" spans="3:26" ht="6.75" customHeight="1" thickBot="1">
      <c r="E14" s="64"/>
      <c r="M14" s="64"/>
      <c r="T14" s="64"/>
    </row>
    <row r="15" spans="3:26" ht="15.75" customHeight="1" thickBot="1">
      <c r="E15" s="64" t="s">
        <v>8</v>
      </c>
      <c r="F15" s="826" t="str">
        <f>'[3]APP - QUESTIONNAIRE'!F15:H15</f>
        <v xml:space="preserve"> </v>
      </c>
      <c r="G15" s="827"/>
      <c r="H15" s="828"/>
      <c r="M15" s="64" t="s">
        <v>74</v>
      </c>
      <c r="N15" s="1198" t="s">
        <v>2</v>
      </c>
      <c r="O15" s="1199"/>
      <c r="P15" s="1200"/>
      <c r="T15" s="64" t="s">
        <v>9</v>
      </c>
      <c r="V15" s="1275" t="e">
        <f>'[3]APP - QUESTIONNAIRE'!U15:Y15</f>
        <v>#REF!</v>
      </c>
      <c r="W15" s="1276"/>
      <c r="X15" s="1276"/>
      <c r="Y15" s="1276"/>
      <c r="Z15" s="1277"/>
    </row>
    <row r="16" spans="3:26" ht="4.5" customHeight="1">
      <c r="P16" s="67" t="s">
        <v>55</v>
      </c>
    </row>
    <row r="17" spans="2:151" ht="3" customHeight="1">
      <c r="N17" s="68" t="e">
        <f>#REF!</f>
        <v>#REF!</v>
      </c>
      <c r="O17" s="69" t="s">
        <v>2</v>
      </c>
      <c r="P17" s="70" t="s">
        <v>2</v>
      </c>
      <c r="Q17" s="71"/>
      <c r="AA17" s="71"/>
    </row>
    <row r="18" spans="2:151" ht="3.75" customHeight="1"/>
    <row r="19" spans="2:151" s="72" customFormat="1" ht="122.25" customHeight="1">
      <c r="B19" s="73" t="s">
        <v>11</v>
      </c>
      <c r="C19" s="73" t="s">
        <v>12</v>
      </c>
      <c r="D19" s="1278" t="s">
        <v>13</v>
      </c>
      <c r="E19" s="1278"/>
      <c r="F19" s="1278"/>
      <c r="G19" s="1278" t="s">
        <v>14</v>
      </c>
      <c r="H19" s="1278"/>
      <c r="I19" s="1278"/>
      <c r="J19" s="1278" t="s">
        <v>15</v>
      </c>
      <c r="K19" s="1278"/>
      <c r="L19" s="1278"/>
      <c r="M19" s="1278" t="s">
        <v>16</v>
      </c>
      <c r="N19" s="1278"/>
      <c r="O19" s="1278"/>
      <c r="P19" s="1278" t="s">
        <v>17</v>
      </c>
      <c r="Q19" s="1279"/>
      <c r="R19" s="74" t="s">
        <v>196</v>
      </c>
      <c r="S19" s="74"/>
      <c r="T19" s="74" t="s">
        <v>197</v>
      </c>
      <c r="U19" s="75"/>
      <c r="V19" s="76" t="s">
        <v>198</v>
      </c>
      <c r="W19" s="77"/>
      <c r="X19" s="78" t="s">
        <v>2</v>
      </c>
      <c r="Y19" s="78"/>
      <c r="Z19" s="78" t="s">
        <v>2</v>
      </c>
      <c r="AA19" s="74" t="s">
        <v>199</v>
      </c>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row>
    <row r="20" spans="2:151" ht="6" customHeight="1">
      <c r="C20" s="56" t="s">
        <v>2</v>
      </c>
      <c r="M20" s="56" t="s">
        <v>2</v>
      </c>
      <c r="N20" s="56" t="s">
        <v>2</v>
      </c>
      <c r="R20" s="81"/>
      <c r="S20" s="81"/>
      <c r="T20" s="81"/>
      <c r="X20" s="82"/>
      <c r="Y20" s="83"/>
      <c r="Z20" s="82"/>
      <c r="AA20" s="82"/>
    </row>
    <row r="21" spans="2:151" ht="15" customHeight="1">
      <c r="B21" s="84">
        <v>1</v>
      </c>
      <c r="C21" s="2" t="e">
        <f>'[3]APP - QUESTIONNAIRE'!C21</f>
        <v>#REF!</v>
      </c>
      <c r="D21" s="1267" t="str">
        <f>'[3]APP - QUESTIONNAIRE'!D21:F21</f>
        <v xml:space="preserve"> </v>
      </c>
      <c r="E21" s="1268"/>
      <c r="F21" s="1269"/>
      <c r="G21" s="1267" t="str">
        <f>'[3]APP - QUESTIONNAIRE'!G21:I21</f>
        <v xml:space="preserve"> </v>
      </c>
      <c r="H21" s="1268"/>
      <c r="I21" s="1269"/>
      <c r="J21" s="1267" t="str">
        <f>'[3]APP - QUESTIONNAIRE'!J21:L21</f>
        <v xml:space="preserve"> </v>
      </c>
      <c r="K21" s="1268"/>
      <c r="L21" s="1269"/>
      <c r="M21" s="1267" t="str">
        <f>'[3]APP - QUESTIONNAIRE'!M21:O21</f>
        <v xml:space="preserve"> </v>
      </c>
      <c r="N21" s="1268"/>
      <c r="O21" s="1269"/>
      <c r="P21" s="1265">
        <f>'[3]APP - QUESTIONNAIRE'!P21:Q21</f>
        <v>0</v>
      </c>
      <c r="Q21" s="1266"/>
      <c r="R21" s="4">
        <f>EQUIPEMENTS!R24</f>
        <v>1500</v>
      </c>
      <c r="S21" s="4"/>
      <c r="T21" s="4">
        <f>R21-5000</f>
        <v>-3500</v>
      </c>
      <c r="U21" s="85"/>
      <c r="V21" s="86">
        <f>[3]RATER!Z22</f>
        <v>0</v>
      </c>
      <c r="W21" s="87"/>
      <c r="X21" s="2"/>
      <c r="Y21" s="85"/>
      <c r="Z21" s="88"/>
      <c r="AA21" s="3">
        <f>IF(R21&gt;0,5000,"")</f>
        <v>5000</v>
      </c>
      <c r="AB21" s="89">
        <f>IF(X21="Y",-10,0)</f>
        <v>0</v>
      </c>
      <c r="AC21" s="57">
        <f>IF(Z21&gt;0,Z21,0)</f>
        <v>0</v>
      </c>
      <c r="AD21" s="57">
        <f>(IF(AA21&gt;2499,10,0))</f>
        <v>10</v>
      </c>
    </row>
    <row r="22" spans="2:151" ht="15" customHeight="1">
      <c r="B22" s="84">
        <v>1</v>
      </c>
      <c r="C22" s="2" t="e">
        <f>'[3]APP - QUESTIONNAIRE'!C22</f>
        <v>#REF!</v>
      </c>
      <c r="D22" s="1267" t="str">
        <f>'[3]APP - QUESTIONNAIRE'!D22:F22</f>
        <v xml:space="preserve"> </v>
      </c>
      <c r="E22" s="1268"/>
      <c r="F22" s="1269"/>
      <c r="G22" s="1267" t="str">
        <f>'[3]APP - QUESTIONNAIRE'!G22:I22</f>
        <v xml:space="preserve"> </v>
      </c>
      <c r="H22" s="1268"/>
      <c r="I22" s="1269"/>
      <c r="J22" s="1267" t="str">
        <f>'[3]APP - QUESTIONNAIRE'!J22:L22</f>
        <v xml:space="preserve"> </v>
      </c>
      <c r="K22" s="1268"/>
      <c r="L22" s="1269"/>
      <c r="M22" s="1267" t="str">
        <f>'[3]APP - QUESTIONNAIRE'!M22:O22</f>
        <v xml:space="preserve"> </v>
      </c>
      <c r="N22" s="1268"/>
      <c r="O22" s="1269"/>
      <c r="P22" s="1265">
        <f>'[3]APP - QUESTIONNAIRE'!P22:Q22</f>
        <v>0</v>
      </c>
      <c r="Q22" s="1266"/>
      <c r="R22" s="4">
        <f>EQUIPEMENTS!R25</f>
        <v>1500</v>
      </c>
      <c r="S22" s="4"/>
      <c r="T22" s="4">
        <f t="shared" ref="T22:T45" si="0">R22-5000</f>
        <v>-3500</v>
      </c>
      <c r="U22" s="85"/>
      <c r="V22" s="86">
        <f>[3]RATER!Z23</f>
        <v>0</v>
      </c>
      <c r="W22" s="87"/>
      <c r="X22" s="2"/>
      <c r="Y22" s="85"/>
      <c r="Z22" s="88"/>
      <c r="AA22" s="3">
        <f t="shared" ref="AA22:AA45" si="1">IF(R22&gt;0,5000,"")</f>
        <v>5000</v>
      </c>
      <c r="AB22" s="89">
        <f t="shared" ref="AB22:AB45" si="2">IF(X22="Y",-10,0)</f>
        <v>0</v>
      </c>
      <c r="AC22" s="57">
        <f t="shared" ref="AC22:AC45" si="3">IF(Z22&gt;0,Z22,0)</f>
        <v>0</v>
      </c>
      <c r="AD22" s="57">
        <f t="shared" ref="AD22:AD45" si="4">(IF(AA22&gt;2499,10,0))</f>
        <v>10</v>
      </c>
    </row>
    <row r="23" spans="2:151" ht="15" customHeight="1">
      <c r="B23" s="84">
        <v>1</v>
      </c>
      <c r="C23" s="2" t="e">
        <f>'[3]APP - QUESTIONNAIRE'!C23</f>
        <v>#REF!</v>
      </c>
      <c r="D23" s="1267" t="str">
        <f>'[3]APP - QUESTIONNAIRE'!D23:F23</f>
        <v xml:space="preserve"> </v>
      </c>
      <c r="E23" s="1268"/>
      <c r="F23" s="1269"/>
      <c r="G23" s="1267" t="str">
        <f>'[3]APP - QUESTIONNAIRE'!G23:I23</f>
        <v xml:space="preserve"> </v>
      </c>
      <c r="H23" s="1268"/>
      <c r="I23" s="1269"/>
      <c r="J23" s="1267" t="str">
        <f>'[3]APP - QUESTIONNAIRE'!J23:L23</f>
        <v xml:space="preserve"> </v>
      </c>
      <c r="K23" s="1268"/>
      <c r="L23" s="1269"/>
      <c r="M23" s="1267" t="str">
        <f>'[3]APP - QUESTIONNAIRE'!M23:O23</f>
        <v xml:space="preserve"> </v>
      </c>
      <c r="N23" s="1268"/>
      <c r="O23" s="1269"/>
      <c r="P23" s="1265">
        <f>'[3]APP - QUESTIONNAIRE'!P23:Q23</f>
        <v>0</v>
      </c>
      <c r="Q23" s="1266"/>
      <c r="R23" s="4">
        <f>EQUIPEMENTS!R26</f>
        <v>1500</v>
      </c>
      <c r="S23" s="4"/>
      <c r="T23" s="4">
        <f t="shared" si="0"/>
        <v>-3500</v>
      </c>
      <c r="U23" s="85"/>
      <c r="V23" s="86">
        <f>[3]RATER!Z24</f>
        <v>0</v>
      </c>
      <c r="W23" s="87"/>
      <c r="X23" s="2"/>
      <c r="Y23" s="85"/>
      <c r="Z23" s="88"/>
      <c r="AA23" s="3">
        <f t="shared" si="1"/>
        <v>5000</v>
      </c>
      <c r="AB23" s="89">
        <f t="shared" si="2"/>
        <v>0</v>
      </c>
      <c r="AC23" s="57">
        <f t="shared" si="3"/>
        <v>0</v>
      </c>
      <c r="AD23" s="57">
        <f t="shared" si="4"/>
        <v>10</v>
      </c>
    </row>
    <row r="24" spans="2:151" ht="15" customHeight="1">
      <c r="B24" s="84">
        <v>1</v>
      </c>
      <c r="C24" s="2" t="e">
        <f>'[3]APP - QUESTIONNAIRE'!C24</f>
        <v>#REF!</v>
      </c>
      <c r="D24" s="1267" t="str">
        <f>'[3]APP - QUESTIONNAIRE'!D24:F24</f>
        <v xml:space="preserve"> </v>
      </c>
      <c r="E24" s="1268"/>
      <c r="F24" s="1269"/>
      <c r="G24" s="1267" t="str">
        <f>'[3]APP - QUESTIONNAIRE'!G24:I24</f>
        <v xml:space="preserve"> </v>
      </c>
      <c r="H24" s="1268"/>
      <c r="I24" s="1269"/>
      <c r="J24" s="1267" t="str">
        <f>'[3]APP - QUESTIONNAIRE'!J24:L24</f>
        <v xml:space="preserve"> </v>
      </c>
      <c r="K24" s="1268"/>
      <c r="L24" s="1269"/>
      <c r="M24" s="1267" t="str">
        <f>'[3]APP - QUESTIONNAIRE'!M24:O24</f>
        <v xml:space="preserve"> </v>
      </c>
      <c r="N24" s="1268"/>
      <c r="O24" s="1269"/>
      <c r="P24" s="1265">
        <f>'[3]APP - QUESTIONNAIRE'!P24:Q24</f>
        <v>0</v>
      </c>
      <c r="Q24" s="1266"/>
      <c r="R24" s="4">
        <f>EQUIPEMENTS!R27</f>
        <v>1500</v>
      </c>
      <c r="S24" s="4"/>
      <c r="T24" s="4">
        <f t="shared" si="0"/>
        <v>-3500</v>
      </c>
      <c r="U24" s="85"/>
      <c r="V24" s="86">
        <f>[3]RATER!Z25</f>
        <v>0</v>
      </c>
      <c r="W24" s="87"/>
      <c r="X24" s="2"/>
      <c r="Y24" s="85"/>
      <c r="Z24" s="88"/>
      <c r="AA24" s="3">
        <f t="shared" si="1"/>
        <v>5000</v>
      </c>
      <c r="AB24" s="89">
        <f t="shared" si="2"/>
        <v>0</v>
      </c>
      <c r="AC24" s="57">
        <f t="shared" si="3"/>
        <v>0</v>
      </c>
      <c r="AD24" s="57">
        <f t="shared" si="4"/>
        <v>10</v>
      </c>
    </row>
    <row r="25" spans="2:151" ht="15" customHeight="1">
      <c r="B25" s="84">
        <v>1</v>
      </c>
      <c r="C25" s="2" t="e">
        <f>'[3]APP - QUESTIONNAIRE'!C25</f>
        <v>#REF!</v>
      </c>
      <c r="D25" s="1267" t="str">
        <f>'[3]APP - QUESTIONNAIRE'!D25:F25</f>
        <v xml:space="preserve"> </v>
      </c>
      <c r="E25" s="1268"/>
      <c r="F25" s="1269"/>
      <c r="G25" s="1267" t="str">
        <f>'[3]APP - QUESTIONNAIRE'!G25:I25</f>
        <v xml:space="preserve"> </v>
      </c>
      <c r="H25" s="1268"/>
      <c r="I25" s="1269"/>
      <c r="J25" s="1267" t="str">
        <f>'[3]APP - QUESTIONNAIRE'!J25:L25</f>
        <v xml:space="preserve"> </v>
      </c>
      <c r="K25" s="1268"/>
      <c r="L25" s="1269"/>
      <c r="M25" s="1267" t="str">
        <f>'[3]APP - QUESTIONNAIRE'!M25:O25</f>
        <v xml:space="preserve"> </v>
      </c>
      <c r="N25" s="1268"/>
      <c r="O25" s="1269"/>
      <c r="P25" s="1265">
        <f>'[3]APP - QUESTIONNAIRE'!P25:Q25</f>
        <v>0</v>
      </c>
      <c r="Q25" s="1266"/>
      <c r="R25" s="4">
        <f>EQUIPEMENTS!R28</f>
        <v>1500</v>
      </c>
      <c r="S25" s="4"/>
      <c r="T25" s="4">
        <f t="shared" si="0"/>
        <v>-3500</v>
      </c>
      <c r="U25" s="85"/>
      <c r="V25" s="86">
        <f>[3]RATER!Z26</f>
        <v>0</v>
      </c>
      <c r="W25" s="87"/>
      <c r="X25" s="2"/>
      <c r="Y25" s="85"/>
      <c r="Z25" s="88"/>
      <c r="AA25" s="3">
        <f t="shared" si="1"/>
        <v>5000</v>
      </c>
      <c r="AB25" s="89">
        <f t="shared" si="2"/>
        <v>0</v>
      </c>
      <c r="AC25" s="57">
        <f t="shared" si="3"/>
        <v>0</v>
      </c>
      <c r="AD25" s="57">
        <f t="shared" si="4"/>
        <v>10</v>
      </c>
    </row>
    <row r="26" spans="2:151" ht="15" customHeight="1">
      <c r="B26" s="84">
        <v>1</v>
      </c>
      <c r="C26" s="2" t="e">
        <f>'[3]APP - QUESTIONNAIRE'!C26</f>
        <v>#REF!</v>
      </c>
      <c r="D26" s="1267" t="str">
        <f>'[3]APP - QUESTIONNAIRE'!D26:F26</f>
        <v xml:space="preserve"> </v>
      </c>
      <c r="E26" s="1268"/>
      <c r="F26" s="1269"/>
      <c r="G26" s="1267" t="str">
        <f>'[3]APP - QUESTIONNAIRE'!G26:I26</f>
        <v xml:space="preserve"> </v>
      </c>
      <c r="H26" s="1268"/>
      <c r="I26" s="1269"/>
      <c r="J26" s="1267" t="str">
        <f>'[3]APP - QUESTIONNAIRE'!J26:L26</f>
        <v xml:space="preserve"> </v>
      </c>
      <c r="K26" s="1268"/>
      <c r="L26" s="1269"/>
      <c r="M26" s="1267" t="str">
        <f>'[3]APP - QUESTIONNAIRE'!M26:O26</f>
        <v xml:space="preserve"> </v>
      </c>
      <c r="N26" s="1268"/>
      <c r="O26" s="1269"/>
      <c r="P26" s="1265">
        <f>'[3]APP - QUESTIONNAIRE'!P26:Q26</f>
        <v>0</v>
      </c>
      <c r="Q26" s="1266"/>
      <c r="R26" s="4">
        <f>EQUIPEMENTS!R29</f>
        <v>1500</v>
      </c>
      <c r="S26" s="4"/>
      <c r="T26" s="4">
        <f t="shared" si="0"/>
        <v>-3500</v>
      </c>
      <c r="U26" s="85"/>
      <c r="V26" s="86">
        <f>[3]RATER!Z27</f>
        <v>0</v>
      </c>
      <c r="W26" s="87"/>
      <c r="X26" s="2"/>
      <c r="Y26" s="85"/>
      <c r="Z26" s="88"/>
      <c r="AA26" s="3">
        <f t="shared" si="1"/>
        <v>5000</v>
      </c>
      <c r="AB26" s="89">
        <f t="shared" si="2"/>
        <v>0</v>
      </c>
      <c r="AC26" s="57">
        <f t="shared" si="3"/>
        <v>0</v>
      </c>
      <c r="AD26" s="57">
        <f t="shared" si="4"/>
        <v>10</v>
      </c>
    </row>
    <row r="27" spans="2:151" ht="15" customHeight="1">
      <c r="B27" s="84">
        <v>1</v>
      </c>
      <c r="C27" s="2" t="e">
        <f>'[3]APP - QUESTIONNAIRE'!C27</f>
        <v>#REF!</v>
      </c>
      <c r="D27" s="1267" t="str">
        <f>'[3]APP - QUESTIONNAIRE'!D27:F27</f>
        <v xml:space="preserve"> </v>
      </c>
      <c r="E27" s="1268"/>
      <c r="F27" s="1269"/>
      <c r="G27" s="1267" t="str">
        <f>'[3]APP - QUESTIONNAIRE'!G27:I27</f>
        <v xml:space="preserve"> </v>
      </c>
      <c r="H27" s="1268"/>
      <c r="I27" s="1269"/>
      <c r="J27" s="1267" t="str">
        <f>'[3]APP - QUESTIONNAIRE'!J27:L27</f>
        <v xml:space="preserve"> </v>
      </c>
      <c r="K27" s="1268"/>
      <c r="L27" s="1269"/>
      <c r="M27" s="1267" t="str">
        <f>'[3]APP - QUESTIONNAIRE'!M27:O27</f>
        <v xml:space="preserve"> </v>
      </c>
      <c r="N27" s="1268"/>
      <c r="O27" s="1269"/>
      <c r="P27" s="1265">
        <f>'[3]APP - QUESTIONNAIRE'!P27:Q27</f>
        <v>0</v>
      </c>
      <c r="Q27" s="1266"/>
      <c r="R27" s="4">
        <f>EQUIPEMENTS!R30</f>
        <v>1500</v>
      </c>
      <c r="S27" s="4"/>
      <c r="T27" s="4">
        <f t="shared" si="0"/>
        <v>-3500</v>
      </c>
      <c r="U27" s="85"/>
      <c r="V27" s="86">
        <f>[3]RATER!Z28</f>
        <v>0</v>
      </c>
      <c r="W27" s="87"/>
      <c r="X27" s="2"/>
      <c r="Y27" s="85"/>
      <c r="Z27" s="88"/>
      <c r="AA27" s="3">
        <f t="shared" si="1"/>
        <v>5000</v>
      </c>
      <c r="AB27" s="89">
        <f t="shared" si="2"/>
        <v>0</v>
      </c>
      <c r="AC27" s="57">
        <f t="shared" si="3"/>
        <v>0</v>
      </c>
      <c r="AD27" s="57">
        <f t="shared" si="4"/>
        <v>10</v>
      </c>
    </row>
    <row r="28" spans="2:151" ht="15" customHeight="1">
      <c r="B28" s="84">
        <v>1</v>
      </c>
      <c r="C28" s="2" t="e">
        <f>'[3]APP - QUESTIONNAIRE'!C28</f>
        <v>#REF!</v>
      </c>
      <c r="D28" s="1267" t="str">
        <f>'[3]APP - QUESTIONNAIRE'!D28:F28</f>
        <v xml:space="preserve"> </v>
      </c>
      <c r="E28" s="1268"/>
      <c r="F28" s="1269"/>
      <c r="G28" s="1267" t="str">
        <f>'[3]APP - QUESTIONNAIRE'!G28:I28</f>
        <v xml:space="preserve"> </v>
      </c>
      <c r="H28" s="1268"/>
      <c r="I28" s="1269"/>
      <c r="J28" s="1267" t="str">
        <f>'[3]APP - QUESTIONNAIRE'!J28:L28</f>
        <v xml:space="preserve"> </v>
      </c>
      <c r="K28" s="1268"/>
      <c r="L28" s="1269"/>
      <c r="M28" s="1267" t="str">
        <f>'[3]APP - QUESTIONNAIRE'!M28:O28</f>
        <v xml:space="preserve"> </v>
      </c>
      <c r="N28" s="1268"/>
      <c r="O28" s="1269"/>
      <c r="P28" s="1265">
        <f>'[3]APP - QUESTIONNAIRE'!P28:Q28</f>
        <v>0</v>
      </c>
      <c r="Q28" s="1266"/>
      <c r="R28" s="4">
        <f>EQUIPEMENTS!R31</f>
        <v>1500</v>
      </c>
      <c r="S28" s="4"/>
      <c r="T28" s="4">
        <f t="shared" si="0"/>
        <v>-3500</v>
      </c>
      <c r="U28" s="85"/>
      <c r="V28" s="86">
        <f>[3]RATER!Z29</f>
        <v>0</v>
      </c>
      <c r="W28" s="87"/>
      <c r="X28" s="2"/>
      <c r="Y28" s="85"/>
      <c r="Z28" s="88"/>
      <c r="AA28" s="3">
        <f t="shared" si="1"/>
        <v>5000</v>
      </c>
      <c r="AB28" s="89">
        <f t="shared" si="2"/>
        <v>0</v>
      </c>
      <c r="AC28" s="57">
        <f t="shared" si="3"/>
        <v>0</v>
      </c>
      <c r="AD28" s="57">
        <f t="shared" si="4"/>
        <v>10</v>
      </c>
    </row>
    <row r="29" spans="2:151" ht="15" customHeight="1">
      <c r="B29" s="84">
        <v>1</v>
      </c>
      <c r="C29" s="2" t="e">
        <f>'[3]APP - QUESTIONNAIRE'!C29</f>
        <v>#REF!</v>
      </c>
      <c r="D29" s="1267" t="str">
        <f>'[3]APP - QUESTIONNAIRE'!D29:F29</f>
        <v xml:space="preserve"> </v>
      </c>
      <c r="E29" s="1268"/>
      <c r="F29" s="1269"/>
      <c r="G29" s="1267" t="str">
        <f>'[3]APP - QUESTIONNAIRE'!G29:I29</f>
        <v xml:space="preserve"> </v>
      </c>
      <c r="H29" s="1268"/>
      <c r="I29" s="1269"/>
      <c r="J29" s="1267" t="str">
        <f>'[3]APP - QUESTIONNAIRE'!J29:L29</f>
        <v xml:space="preserve"> </v>
      </c>
      <c r="K29" s="1268"/>
      <c r="L29" s="1269"/>
      <c r="M29" s="1267" t="str">
        <f>'[3]APP - QUESTIONNAIRE'!M29:O29</f>
        <v xml:space="preserve"> </v>
      </c>
      <c r="N29" s="1268"/>
      <c r="O29" s="1269"/>
      <c r="P29" s="1265">
        <f>'[3]APP - QUESTIONNAIRE'!P29:Q29</f>
        <v>0</v>
      </c>
      <c r="Q29" s="1266"/>
      <c r="R29" s="4">
        <f>EQUIPEMENTS!R32</f>
        <v>1500</v>
      </c>
      <c r="S29" s="4"/>
      <c r="T29" s="4">
        <f t="shared" si="0"/>
        <v>-3500</v>
      </c>
      <c r="U29" s="85"/>
      <c r="V29" s="86">
        <f>[3]RATER!Z30</f>
        <v>0</v>
      </c>
      <c r="W29" s="87"/>
      <c r="X29" s="2"/>
      <c r="Y29" s="85"/>
      <c r="Z29" s="88"/>
      <c r="AA29" s="3">
        <f t="shared" si="1"/>
        <v>5000</v>
      </c>
      <c r="AB29" s="89">
        <f t="shared" si="2"/>
        <v>0</v>
      </c>
      <c r="AC29" s="57">
        <f t="shared" si="3"/>
        <v>0</v>
      </c>
      <c r="AD29" s="57">
        <f t="shared" si="4"/>
        <v>10</v>
      </c>
    </row>
    <row r="30" spans="2:151" ht="15" customHeight="1">
      <c r="B30" s="84">
        <v>1</v>
      </c>
      <c r="C30" s="2" t="e">
        <f>'[3]APP - QUESTIONNAIRE'!C30</f>
        <v>#REF!</v>
      </c>
      <c r="D30" s="1267" t="str">
        <f>'[3]APP - QUESTIONNAIRE'!D30:F30</f>
        <v xml:space="preserve"> </v>
      </c>
      <c r="E30" s="1268"/>
      <c r="F30" s="1269"/>
      <c r="G30" s="1267" t="str">
        <f>'[3]APP - QUESTIONNAIRE'!G30:I30</f>
        <v xml:space="preserve"> </v>
      </c>
      <c r="H30" s="1268"/>
      <c r="I30" s="1269"/>
      <c r="J30" s="1267" t="str">
        <f>'[3]APP - QUESTIONNAIRE'!J30:L30</f>
        <v xml:space="preserve"> </v>
      </c>
      <c r="K30" s="1268"/>
      <c r="L30" s="1269"/>
      <c r="M30" s="1267" t="str">
        <f>'[3]APP - QUESTIONNAIRE'!M30:O30</f>
        <v xml:space="preserve"> </v>
      </c>
      <c r="N30" s="1268"/>
      <c r="O30" s="1269"/>
      <c r="P30" s="1265">
        <f>'[3]APP - QUESTIONNAIRE'!P30:Q30</f>
        <v>0</v>
      </c>
      <c r="Q30" s="1266"/>
      <c r="R30" s="4">
        <f>EQUIPEMENTS!R33</f>
        <v>1500</v>
      </c>
      <c r="S30" s="4"/>
      <c r="T30" s="4">
        <f t="shared" si="0"/>
        <v>-3500</v>
      </c>
      <c r="U30" s="85"/>
      <c r="V30" s="86">
        <f>[3]RATER!Z31</f>
        <v>0</v>
      </c>
      <c r="W30" s="87"/>
      <c r="X30" s="2"/>
      <c r="Y30" s="85"/>
      <c r="Z30" s="88"/>
      <c r="AA30" s="3">
        <f t="shared" si="1"/>
        <v>5000</v>
      </c>
      <c r="AB30" s="89">
        <f t="shared" si="2"/>
        <v>0</v>
      </c>
      <c r="AC30" s="57">
        <f t="shared" si="3"/>
        <v>0</v>
      </c>
      <c r="AD30" s="57">
        <f t="shared" si="4"/>
        <v>10</v>
      </c>
    </row>
    <row r="31" spans="2:151" ht="15" customHeight="1">
      <c r="B31" s="84">
        <v>1</v>
      </c>
      <c r="C31" s="2" t="e">
        <f>'[3]APP - QUESTIONNAIRE'!C31</f>
        <v>#REF!</v>
      </c>
      <c r="D31" s="1267" t="str">
        <f>'[3]APP - QUESTIONNAIRE'!D31:F31</f>
        <v xml:space="preserve"> </v>
      </c>
      <c r="E31" s="1268"/>
      <c r="F31" s="1269"/>
      <c r="G31" s="1267" t="str">
        <f>'[3]APP - QUESTIONNAIRE'!G31:I31</f>
        <v xml:space="preserve"> </v>
      </c>
      <c r="H31" s="1268"/>
      <c r="I31" s="1269"/>
      <c r="J31" s="1267" t="str">
        <f>'[3]APP - QUESTIONNAIRE'!J31:L31</f>
        <v xml:space="preserve"> </v>
      </c>
      <c r="K31" s="1268"/>
      <c r="L31" s="1269"/>
      <c r="M31" s="1267" t="str">
        <f>'[3]APP - QUESTIONNAIRE'!M31:O31</f>
        <v xml:space="preserve"> </v>
      </c>
      <c r="N31" s="1268"/>
      <c r="O31" s="1269"/>
      <c r="P31" s="1265">
        <f>'[3]APP - QUESTIONNAIRE'!P31:Q31</f>
        <v>0</v>
      </c>
      <c r="Q31" s="1266"/>
      <c r="R31" s="4">
        <f>EQUIPEMENTS!R34</f>
        <v>1500</v>
      </c>
      <c r="S31" s="4"/>
      <c r="T31" s="4">
        <f t="shared" si="0"/>
        <v>-3500</v>
      </c>
      <c r="U31" s="85"/>
      <c r="V31" s="86">
        <f>[3]RATER!Z32</f>
        <v>0</v>
      </c>
      <c r="W31" s="87"/>
      <c r="X31" s="2"/>
      <c r="Y31" s="85"/>
      <c r="Z31" s="88"/>
      <c r="AA31" s="3">
        <f t="shared" si="1"/>
        <v>5000</v>
      </c>
      <c r="AB31" s="89">
        <f t="shared" si="2"/>
        <v>0</v>
      </c>
      <c r="AC31" s="57">
        <f t="shared" si="3"/>
        <v>0</v>
      </c>
      <c r="AD31" s="57">
        <f t="shared" si="4"/>
        <v>10</v>
      </c>
    </row>
    <row r="32" spans="2:151" ht="15" customHeight="1">
      <c r="B32" s="84">
        <v>1</v>
      </c>
      <c r="C32" s="2" t="e">
        <f>'[3]APP - QUESTIONNAIRE'!C32</f>
        <v>#REF!</v>
      </c>
      <c r="D32" s="1267" t="str">
        <f>'[3]APP - QUESTIONNAIRE'!D32:F32</f>
        <v xml:space="preserve"> </v>
      </c>
      <c r="E32" s="1268"/>
      <c r="F32" s="1269"/>
      <c r="G32" s="1267" t="str">
        <f>'[3]APP - QUESTIONNAIRE'!G32:I32</f>
        <v xml:space="preserve"> </v>
      </c>
      <c r="H32" s="1268"/>
      <c r="I32" s="1269"/>
      <c r="J32" s="1267" t="str">
        <f>'[3]APP - QUESTIONNAIRE'!J32:L32</f>
        <v xml:space="preserve"> </v>
      </c>
      <c r="K32" s="1268"/>
      <c r="L32" s="1269"/>
      <c r="M32" s="1267" t="str">
        <f>'[3]APP - QUESTIONNAIRE'!M32:O32</f>
        <v xml:space="preserve"> </v>
      </c>
      <c r="N32" s="1268"/>
      <c r="O32" s="1269"/>
      <c r="P32" s="1265">
        <f>'[3]APP - QUESTIONNAIRE'!P32:Q32</f>
        <v>0</v>
      </c>
      <c r="Q32" s="1266"/>
      <c r="R32" s="4">
        <f>EQUIPEMENTS!R35</f>
        <v>1500</v>
      </c>
      <c r="S32" s="4"/>
      <c r="T32" s="4">
        <f t="shared" si="0"/>
        <v>-3500</v>
      </c>
      <c r="U32" s="85"/>
      <c r="V32" s="86">
        <f>[3]RATER!Z33</f>
        <v>0</v>
      </c>
      <c r="W32" s="87"/>
      <c r="X32" s="2"/>
      <c r="Y32" s="85"/>
      <c r="Z32" s="88"/>
      <c r="AA32" s="3">
        <f t="shared" si="1"/>
        <v>5000</v>
      </c>
      <c r="AB32" s="89">
        <f t="shared" si="2"/>
        <v>0</v>
      </c>
      <c r="AC32" s="57">
        <f t="shared" si="3"/>
        <v>0</v>
      </c>
      <c r="AD32" s="57">
        <f t="shared" si="4"/>
        <v>10</v>
      </c>
    </row>
    <row r="33" spans="2:151" ht="15" customHeight="1">
      <c r="B33" s="84">
        <v>1</v>
      </c>
      <c r="C33" s="2" t="e">
        <f>'[3]APP - QUESTIONNAIRE'!C33</f>
        <v>#REF!</v>
      </c>
      <c r="D33" s="1267" t="str">
        <f>'[3]APP - QUESTIONNAIRE'!D33:F33</f>
        <v xml:space="preserve"> </v>
      </c>
      <c r="E33" s="1268"/>
      <c r="F33" s="1269"/>
      <c r="G33" s="1267" t="str">
        <f>'[3]APP - QUESTIONNAIRE'!G33:I33</f>
        <v xml:space="preserve"> </v>
      </c>
      <c r="H33" s="1268"/>
      <c r="I33" s="1269"/>
      <c r="J33" s="1267" t="str">
        <f>'[3]APP - QUESTIONNAIRE'!J33:L33</f>
        <v xml:space="preserve"> </v>
      </c>
      <c r="K33" s="1268"/>
      <c r="L33" s="1269"/>
      <c r="M33" s="1267" t="str">
        <f>'[3]APP - QUESTIONNAIRE'!M33:O33</f>
        <v xml:space="preserve"> </v>
      </c>
      <c r="N33" s="1268"/>
      <c r="O33" s="1269"/>
      <c r="P33" s="1265">
        <f>'[3]APP - QUESTIONNAIRE'!P33:Q33</f>
        <v>0</v>
      </c>
      <c r="Q33" s="1266"/>
      <c r="R33" s="4">
        <f>EQUIPEMENTS!R36</f>
        <v>1500</v>
      </c>
      <c r="S33" s="4"/>
      <c r="T33" s="4">
        <f t="shared" si="0"/>
        <v>-3500</v>
      </c>
      <c r="U33" s="85"/>
      <c r="V33" s="86">
        <f>[3]RATER!Z34</f>
        <v>0</v>
      </c>
      <c r="W33" s="87"/>
      <c r="X33" s="2"/>
      <c r="Y33" s="85"/>
      <c r="Z33" s="88"/>
      <c r="AA33" s="3">
        <f t="shared" si="1"/>
        <v>5000</v>
      </c>
      <c r="AB33" s="89">
        <f t="shared" si="2"/>
        <v>0</v>
      </c>
      <c r="AC33" s="57">
        <f t="shared" si="3"/>
        <v>0</v>
      </c>
      <c r="AD33" s="57">
        <f t="shared" si="4"/>
        <v>10</v>
      </c>
    </row>
    <row r="34" spans="2:151" ht="15" customHeight="1">
      <c r="B34" s="84">
        <v>1</v>
      </c>
      <c r="C34" s="2" t="e">
        <f>'[3]APP - QUESTIONNAIRE'!C34</f>
        <v>#REF!</v>
      </c>
      <c r="D34" s="1267" t="str">
        <f>'[3]APP - QUESTIONNAIRE'!D34:F34</f>
        <v xml:space="preserve"> </v>
      </c>
      <c r="E34" s="1268"/>
      <c r="F34" s="1269"/>
      <c r="G34" s="1267" t="str">
        <f>'[3]APP - QUESTIONNAIRE'!G34:I34</f>
        <v xml:space="preserve"> </v>
      </c>
      <c r="H34" s="1268"/>
      <c r="I34" s="1269"/>
      <c r="J34" s="1267" t="str">
        <f>'[3]APP - QUESTIONNAIRE'!J34:L34</f>
        <v xml:space="preserve"> </v>
      </c>
      <c r="K34" s="1268"/>
      <c r="L34" s="1269"/>
      <c r="M34" s="1267" t="str">
        <f>'[3]APP - QUESTIONNAIRE'!M34:O34</f>
        <v xml:space="preserve"> </v>
      </c>
      <c r="N34" s="1268"/>
      <c r="O34" s="1269"/>
      <c r="P34" s="1265">
        <f>'[3]APP - QUESTIONNAIRE'!P34:Q34</f>
        <v>0</v>
      </c>
      <c r="Q34" s="1266"/>
      <c r="R34" s="4">
        <f>EQUIPEMENTS!R37</f>
        <v>1500</v>
      </c>
      <c r="S34" s="4"/>
      <c r="T34" s="4">
        <f t="shared" si="0"/>
        <v>-3500</v>
      </c>
      <c r="U34" s="85"/>
      <c r="V34" s="86">
        <f>[3]RATER!Z35</f>
        <v>0</v>
      </c>
      <c r="W34" s="87"/>
      <c r="X34" s="2"/>
      <c r="Y34" s="85"/>
      <c r="Z34" s="88"/>
      <c r="AA34" s="3">
        <f t="shared" si="1"/>
        <v>5000</v>
      </c>
      <c r="AB34" s="89">
        <f t="shared" si="2"/>
        <v>0</v>
      </c>
      <c r="AC34" s="57">
        <f t="shared" si="3"/>
        <v>0</v>
      </c>
      <c r="AD34" s="57">
        <f t="shared" si="4"/>
        <v>10</v>
      </c>
    </row>
    <row r="35" spans="2:151" ht="15" customHeight="1">
      <c r="B35" s="84">
        <v>1</v>
      </c>
      <c r="C35" s="2" t="e">
        <f>'[3]APP - QUESTIONNAIRE'!C35</f>
        <v>#REF!</v>
      </c>
      <c r="D35" s="1267" t="str">
        <f>'[3]APP - QUESTIONNAIRE'!D35:F35</f>
        <v xml:space="preserve"> </v>
      </c>
      <c r="E35" s="1268"/>
      <c r="F35" s="1269"/>
      <c r="G35" s="1267" t="str">
        <f>'[3]APP - QUESTIONNAIRE'!G35:I35</f>
        <v xml:space="preserve"> </v>
      </c>
      <c r="H35" s="1268"/>
      <c r="I35" s="1269"/>
      <c r="J35" s="1267" t="str">
        <f>'[3]APP - QUESTIONNAIRE'!J35:L35</f>
        <v xml:space="preserve"> </v>
      </c>
      <c r="K35" s="1268"/>
      <c r="L35" s="1269"/>
      <c r="M35" s="1267" t="str">
        <f>'[3]APP - QUESTIONNAIRE'!M35:O35</f>
        <v xml:space="preserve"> </v>
      </c>
      <c r="N35" s="1268"/>
      <c r="O35" s="1269"/>
      <c r="P35" s="1265">
        <f>'[3]APP - QUESTIONNAIRE'!P35:Q35</f>
        <v>0</v>
      </c>
      <c r="Q35" s="1266"/>
      <c r="R35" s="4">
        <f>EQUIPEMENTS!R38</f>
        <v>1500</v>
      </c>
      <c r="S35" s="4"/>
      <c r="T35" s="4">
        <f t="shared" si="0"/>
        <v>-3500</v>
      </c>
      <c r="U35" s="85"/>
      <c r="V35" s="86">
        <f>[3]RATER!Z36</f>
        <v>0</v>
      </c>
      <c r="W35" s="87"/>
      <c r="X35" s="2"/>
      <c r="Y35" s="85"/>
      <c r="Z35" s="88"/>
      <c r="AA35" s="3">
        <f t="shared" si="1"/>
        <v>5000</v>
      </c>
      <c r="AB35" s="89">
        <f t="shared" si="2"/>
        <v>0</v>
      </c>
      <c r="AC35" s="57">
        <f t="shared" si="3"/>
        <v>0</v>
      </c>
      <c r="AD35" s="57">
        <f t="shared" si="4"/>
        <v>10</v>
      </c>
    </row>
    <row r="36" spans="2:151" ht="15" customHeight="1">
      <c r="B36" s="84">
        <v>1</v>
      </c>
      <c r="C36" s="2" t="e">
        <f>'[3]APP - QUESTIONNAIRE'!C36</f>
        <v>#REF!</v>
      </c>
      <c r="D36" s="1267" t="str">
        <f>'[3]APP - QUESTIONNAIRE'!D36:F36</f>
        <v xml:space="preserve"> </v>
      </c>
      <c r="E36" s="1268"/>
      <c r="F36" s="1269"/>
      <c r="G36" s="1267" t="str">
        <f>'[3]APP - QUESTIONNAIRE'!G36:I36</f>
        <v xml:space="preserve"> </v>
      </c>
      <c r="H36" s="1268"/>
      <c r="I36" s="1269"/>
      <c r="J36" s="1267" t="str">
        <f>'[3]APP - QUESTIONNAIRE'!J36:L36</f>
        <v xml:space="preserve"> </v>
      </c>
      <c r="K36" s="1268"/>
      <c r="L36" s="1269"/>
      <c r="M36" s="1267" t="str">
        <f>'[3]APP - QUESTIONNAIRE'!M36:O36</f>
        <v xml:space="preserve"> </v>
      </c>
      <c r="N36" s="1268"/>
      <c r="O36" s="1269"/>
      <c r="P36" s="1265">
        <f>'[3]APP - QUESTIONNAIRE'!P36:Q36</f>
        <v>0</v>
      </c>
      <c r="Q36" s="1266"/>
      <c r="R36" s="4">
        <f>EQUIPEMENTS!R39</f>
        <v>1500</v>
      </c>
      <c r="S36" s="4"/>
      <c r="T36" s="4">
        <f t="shared" si="0"/>
        <v>-3500</v>
      </c>
      <c r="U36" s="85"/>
      <c r="V36" s="86">
        <f>[3]RATER!Z37</f>
        <v>0</v>
      </c>
      <c r="W36" s="87"/>
      <c r="X36" s="2"/>
      <c r="Y36" s="85"/>
      <c r="Z36" s="88"/>
      <c r="AA36" s="3">
        <f t="shared" si="1"/>
        <v>5000</v>
      </c>
      <c r="AB36" s="89">
        <f t="shared" si="2"/>
        <v>0</v>
      </c>
      <c r="AC36" s="57">
        <f t="shared" si="3"/>
        <v>0</v>
      </c>
      <c r="AD36" s="57">
        <f t="shared" si="4"/>
        <v>10</v>
      </c>
    </row>
    <row r="37" spans="2:151" ht="15" customHeight="1">
      <c r="B37" s="84">
        <v>1</v>
      </c>
      <c r="C37" s="2" t="e">
        <f>'[3]APP - QUESTIONNAIRE'!C37</f>
        <v>#REF!</v>
      </c>
      <c r="D37" s="1267" t="str">
        <f>'[3]APP - QUESTIONNAIRE'!D37:F37</f>
        <v xml:space="preserve"> </v>
      </c>
      <c r="E37" s="1268"/>
      <c r="F37" s="1269"/>
      <c r="G37" s="1267" t="str">
        <f>'[3]APP - QUESTIONNAIRE'!G37:I37</f>
        <v xml:space="preserve"> </v>
      </c>
      <c r="H37" s="1268"/>
      <c r="I37" s="1269"/>
      <c r="J37" s="1267" t="str">
        <f>'[3]APP - QUESTIONNAIRE'!J37:L37</f>
        <v xml:space="preserve"> </v>
      </c>
      <c r="K37" s="1268"/>
      <c r="L37" s="1269"/>
      <c r="M37" s="1267" t="str">
        <f>'[3]APP - QUESTIONNAIRE'!M37:O37</f>
        <v xml:space="preserve"> </v>
      </c>
      <c r="N37" s="1268"/>
      <c r="O37" s="1269"/>
      <c r="P37" s="1265">
        <f>'[3]APP - QUESTIONNAIRE'!P37:Q37</f>
        <v>0</v>
      </c>
      <c r="Q37" s="1266"/>
      <c r="R37" s="4">
        <f>EQUIPEMENTS!R40</f>
        <v>1500</v>
      </c>
      <c r="S37" s="4"/>
      <c r="T37" s="4">
        <f t="shared" si="0"/>
        <v>-3500</v>
      </c>
      <c r="U37" s="85"/>
      <c r="V37" s="86">
        <f>[3]RATER!Z38</f>
        <v>0</v>
      </c>
      <c r="W37" s="87"/>
      <c r="X37" s="2"/>
      <c r="Y37" s="85"/>
      <c r="Z37" s="88"/>
      <c r="AA37" s="3">
        <f t="shared" si="1"/>
        <v>5000</v>
      </c>
      <c r="AB37" s="89">
        <f t="shared" si="2"/>
        <v>0</v>
      </c>
      <c r="AC37" s="57">
        <f t="shared" si="3"/>
        <v>0</v>
      </c>
      <c r="AD37" s="57">
        <f t="shared" si="4"/>
        <v>10</v>
      </c>
    </row>
    <row r="38" spans="2:151" ht="15" customHeight="1">
      <c r="B38" s="84">
        <v>1</v>
      </c>
      <c r="C38" s="2" t="e">
        <f>'[3]APP - QUESTIONNAIRE'!C38</f>
        <v>#REF!</v>
      </c>
      <c r="D38" s="1267" t="str">
        <f>'[3]APP - QUESTIONNAIRE'!D38:F38</f>
        <v xml:space="preserve"> </v>
      </c>
      <c r="E38" s="1268"/>
      <c r="F38" s="1269"/>
      <c r="G38" s="1267" t="str">
        <f>'[3]APP - QUESTIONNAIRE'!G38:I38</f>
        <v xml:space="preserve"> </v>
      </c>
      <c r="H38" s="1268"/>
      <c r="I38" s="1269"/>
      <c r="J38" s="1267" t="str">
        <f>'[3]APP - QUESTIONNAIRE'!J38:L38</f>
        <v xml:space="preserve"> </v>
      </c>
      <c r="K38" s="1268"/>
      <c r="L38" s="1269"/>
      <c r="M38" s="1267" t="str">
        <f>'[3]APP - QUESTIONNAIRE'!M38:O38</f>
        <v xml:space="preserve"> </v>
      </c>
      <c r="N38" s="1268"/>
      <c r="O38" s="1269"/>
      <c r="P38" s="1265">
        <f>'[3]APP - QUESTIONNAIRE'!P38:Q38</f>
        <v>0</v>
      </c>
      <c r="Q38" s="1266"/>
      <c r="R38" s="4">
        <f>EQUIPEMENTS!R41</f>
        <v>1500</v>
      </c>
      <c r="S38" s="4"/>
      <c r="T38" s="4">
        <f t="shared" si="0"/>
        <v>-3500</v>
      </c>
      <c r="U38" s="85"/>
      <c r="V38" s="86">
        <f>[3]RATER!Z39</f>
        <v>0</v>
      </c>
      <c r="W38" s="87"/>
      <c r="X38" s="2"/>
      <c r="Y38" s="85"/>
      <c r="Z38" s="88"/>
      <c r="AA38" s="3">
        <f t="shared" si="1"/>
        <v>5000</v>
      </c>
      <c r="AB38" s="89">
        <f t="shared" si="2"/>
        <v>0</v>
      </c>
      <c r="AC38" s="57">
        <f t="shared" si="3"/>
        <v>0</v>
      </c>
      <c r="AD38" s="57">
        <f t="shared" si="4"/>
        <v>10</v>
      </c>
    </row>
    <row r="39" spans="2:151" ht="15" customHeight="1">
      <c r="B39" s="84">
        <v>1</v>
      </c>
      <c r="C39" s="2" t="e">
        <f>'[3]APP - QUESTIONNAIRE'!C39</f>
        <v>#REF!</v>
      </c>
      <c r="D39" s="1267" t="str">
        <f>'[3]APP - QUESTIONNAIRE'!D39:F39</f>
        <v xml:space="preserve"> </v>
      </c>
      <c r="E39" s="1268"/>
      <c r="F39" s="1269"/>
      <c r="G39" s="1267" t="str">
        <f>'[3]APP - QUESTIONNAIRE'!G39:I39</f>
        <v xml:space="preserve"> </v>
      </c>
      <c r="H39" s="1268"/>
      <c r="I39" s="1269"/>
      <c r="J39" s="1267" t="str">
        <f>'[3]APP - QUESTIONNAIRE'!J39:L39</f>
        <v xml:space="preserve"> </v>
      </c>
      <c r="K39" s="1268"/>
      <c r="L39" s="1269"/>
      <c r="M39" s="1267" t="str">
        <f>'[3]APP - QUESTIONNAIRE'!M39:O39</f>
        <v xml:space="preserve"> </v>
      </c>
      <c r="N39" s="1268"/>
      <c r="O39" s="1269"/>
      <c r="P39" s="1265">
        <f>'[3]APP - QUESTIONNAIRE'!P39:Q39</f>
        <v>0</v>
      </c>
      <c r="Q39" s="1266"/>
      <c r="R39" s="4">
        <f>EQUIPEMENTS!R42</f>
        <v>1500</v>
      </c>
      <c r="S39" s="4"/>
      <c r="T39" s="4">
        <f t="shared" si="0"/>
        <v>-3500</v>
      </c>
      <c r="U39" s="85"/>
      <c r="V39" s="86">
        <f>[3]RATER!Z40</f>
        <v>0</v>
      </c>
      <c r="W39" s="87"/>
      <c r="X39" s="2"/>
      <c r="Y39" s="85"/>
      <c r="Z39" s="88"/>
      <c r="AA39" s="3">
        <f t="shared" si="1"/>
        <v>5000</v>
      </c>
      <c r="AB39" s="89">
        <f t="shared" si="2"/>
        <v>0</v>
      </c>
      <c r="AC39" s="57">
        <f t="shared" si="3"/>
        <v>0</v>
      </c>
      <c r="AD39" s="57">
        <f t="shared" si="4"/>
        <v>10</v>
      </c>
    </row>
    <row r="40" spans="2:151" ht="15" customHeight="1">
      <c r="B40" s="84">
        <v>1</v>
      </c>
      <c r="C40" s="2" t="e">
        <f>'[3]APP - QUESTIONNAIRE'!C40</f>
        <v>#REF!</v>
      </c>
      <c r="D40" s="1267" t="str">
        <f>'[3]APP - QUESTIONNAIRE'!D40:F40</f>
        <v xml:space="preserve"> </v>
      </c>
      <c r="E40" s="1268"/>
      <c r="F40" s="1269"/>
      <c r="G40" s="1267" t="str">
        <f>'[3]APP - QUESTIONNAIRE'!G40:I40</f>
        <v xml:space="preserve"> </v>
      </c>
      <c r="H40" s="1268"/>
      <c r="I40" s="1269"/>
      <c r="J40" s="1267" t="str">
        <f>'[3]APP - QUESTIONNAIRE'!J40:L40</f>
        <v xml:space="preserve"> </v>
      </c>
      <c r="K40" s="1268"/>
      <c r="L40" s="1269"/>
      <c r="M40" s="1267" t="str">
        <f>'[3]APP - QUESTIONNAIRE'!M40:O40</f>
        <v xml:space="preserve"> </v>
      </c>
      <c r="N40" s="1268"/>
      <c r="O40" s="1269"/>
      <c r="P40" s="1265">
        <f>'[3]APP - QUESTIONNAIRE'!P40:Q40</f>
        <v>0</v>
      </c>
      <c r="Q40" s="1266"/>
      <c r="R40" s="4">
        <f>EQUIPEMENTS!R43</f>
        <v>1500</v>
      </c>
      <c r="S40" s="4"/>
      <c r="T40" s="4">
        <f t="shared" si="0"/>
        <v>-3500</v>
      </c>
      <c r="U40" s="85"/>
      <c r="V40" s="86">
        <f>[3]RATER!Z41</f>
        <v>0</v>
      </c>
      <c r="W40" s="87"/>
      <c r="X40" s="2"/>
      <c r="Y40" s="85"/>
      <c r="Z40" s="88"/>
      <c r="AA40" s="3">
        <f t="shared" si="1"/>
        <v>5000</v>
      </c>
      <c r="AB40" s="89">
        <f t="shared" si="2"/>
        <v>0</v>
      </c>
      <c r="AC40" s="57">
        <f t="shared" si="3"/>
        <v>0</v>
      </c>
      <c r="AD40" s="57">
        <f t="shared" si="4"/>
        <v>10</v>
      </c>
    </row>
    <row r="41" spans="2:151" ht="15" customHeight="1">
      <c r="B41" s="84">
        <v>1</v>
      </c>
      <c r="C41" s="2" t="e">
        <f>'[3]APP - QUESTIONNAIRE'!C41</f>
        <v>#REF!</v>
      </c>
      <c r="D41" s="1267" t="str">
        <f>'[3]APP - QUESTIONNAIRE'!D41:F41</f>
        <v xml:space="preserve"> </v>
      </c>
      <c r="E41" s="1268"/>
      <c r="F41" s="1269"/>
      <c r="G41" s="1267" t="str">
        <f>'[3]APP - QUESTIONNAIRE'!G41:I41</f>
        <v xml:space="preserve"> </v>
      </c>
      <c r="H41" s="1268"/>
      <c r="I41" s="1269"/>
      <c r="J41" s="1267" t="str">
        <f>'[3]APP - QUESTIONNAIRE'!J41:L41</f>
        <v xml:space="preserve"> </v>
      </c>
      <c r="K41" s="1268"/>
      <c r="L41" s="1269"/>
      <c r="M41" s="1267" t="str">
        <f>'[3]APP - QUESTIONNAIRE'!M41:O41</f>
        <v xml:space="preserve"> </v>
      </c>
      <c r="N41" s="1268"/>
      <c r="O41" s="1269"/>
      <c r="P41" s="1265">
        <f>'[3]APP - QUESTIONNAIRE'!P41:Q41</f>
        <v>0</v>
      </c>
      <c r="Q41" s="1266"/>
      <c r="R41" s="4">
        <f>EQUIPEMENTS!R44</f>
        <v>1500</v>
      </c>
      <c r="S41" s="4"/>
      <c r="T41" s="4">
        <f t="shared" si="0"/>
        <v>-3500</v>
      </c>
      <c r="U41" s="85"/>
      <c r="V41" s="86">
        <f>[3]RATER!Z42</f>
        <v>0</v>
      </c>
      <c r="W41" s="87"/>
      <c r="X41" s="2"/>
      <c r="Y41" s="85"/>
      <c r="Z41" s="88"/>
      <c r="AA41" s="3">
        <f t="shared" si="1"/>
        <v>5000</v>
      </c>
      <c r="AB41" s="89">
        <f t="shared" si="2"/>
        <v>0</v>
      </c>
      <c r="AC41" s="57">
        <f t="shared" si="3"/>
        <v>0</v>
      </c>
      <c r="AD41" s="57">
        <f t="shared" si="4"/>
        <v>10</v>
      </c>
    </row>
    <row r="42" spans="2:151" ht="15" customHeight="1">
      <c r="B42" s="84">
        <v>1</v>
      </c>
      <c r="C42" s="2" t="e">
        <f>'[3]APP - QUESTIONNAIRE'!C42</f>
        <v>#REF!</v>
      </c>
      <c r="D42" s="1267" t="str">
        <f>'[3]APP - QUESTIONNAIRE'!D42:F42</f>
        <v xml:space="preserve"> </v>
      </c>
      <c r="E42" s="1268"/>
      <c r="F42" s="1269"/>
      <c r="G42" s="1267" t="str">
        <f>'[3]APP - QUESTIONNAIRE'!G42:I42</f>
        <v xml:space="preserve"> </v>
      </c>
      <c r="H42" s="1268"/>
      <c r="I42" s="1269"/>
      <c r="J42" s="1267" t="str">
        <f>'[3]APP - QUESTIONNAIRE'!J42:L42</f>
        <v xml:space="preserve"> </v>
      </c>
      <c r="K42" s="1268"/>
      <c r="L42" s="1269"/>
      <c r="M42" s="1267" t="str">
        <f>'[3]APP - QUESTIONNAIRE'!M42:O42</f>
        <v xml:space="preserve"> </v>
      </c>
      <c r="N42" s="1268"/>
      <c r="O42" s="1269"/>
      <c r="P42" s="1265">
        <f>'[3]APP - QUESTIONNAIRE'!P42:Q42</f>
        <v>0</v>
      </c>
      <c r="Q42" s="1266"/>
      <c r="R42" s="4">
        <f>EQUIPEMENTS!R45</f>
        <v>1500</v>
      </c>
      <c r="S42" s="4"/>
      <c r="T42" s="4">
        <f t="shared" si="0"/>
        <v>-3500</v>
      </c>
      <c r="U42" s="85"/>
      <c r="V42" s="86">
        <f>[3]RATER!Z43</f>
        <v>0</v>
      </c>
      <c r="W42" s="87"/>
      <c r="X42" s="2"/>
      <c r="Y42" s="85"/>
      <c r="Z42" s="88"/>
      <c r="AA42" s="3">
        <f t="shared" si="1"/>
        <v>5000</v>
      </c>
      <c r="AB42" s="89">
        <f t="shared" si="2"/>
        <v>0</v>
      </c>
      <c r="AC42" s="57">
        <f t="shared" si="3"/>
        <v>0</v>
      </c>
      <c r="AD42" s="57">
        <f t="shared" si="4"/>
        <v>10</v>
      </c>
    </row>
    <row r="43" spans="2:151" ht="15" customHeight="1">
      <c r="B43" s="84">
        <v>1</v>
      </c>
      <c r="C43" s="2" t="e">
        <f>'[3]APP - QUESTIONNAIRE'!C43</f>
        <v>#REF!</v>
      </c>
      <c r="D43" s="1267" t="str">
        <f>'[3]APP - QUESTIONNAIRE'!D43:F43</f>
        <v xml:space="preserve"> </v>
      </c>
      <c r="E43" s="1268"/>
      <c r="F43" s="1269"/>
      <c r="G43" s="1267" t="str">
        <f>'[3]APP - QUESTIONNAIRE'!G43:I43</f>
        <v xml:space="preserve"> </v>
      </c>
      <c r="H43" s="1268"/>
      <c r="I43" s="1269"/>
      <c r="J43" s="1267" t="str">
        <f>'[3]APP - QUESTIONNAIRE'!J43:L43</f>
        <v xml:space="preserve"> </v>
      </c>
      <c r="K43" s="1268"/>
      <c r="L43" s="1269"/>
      <c r="M43" s="1267" t="str">
        <f>'[3]APP - QUESTIONNAIRE'!M43:O43</f>
        <v xml:space="preserve"> </v>
      </c>
      <c r="N43" s="1268"/>
      <c r="O43" s="1269"/>
      <c r="P43" s="1265">
        <f>'[3]APP - QUESTIONNAIRE'!P43:Q43</f>
        <v>0</v>
      </c>
      <c r="Q43" s="1266"/>
      <c r="R43" s="4">
        <f>EQUIPEMENTS!R46</f>
        <v>1500</v>
      </c>
      <c r="S43" s="4"/>
      <c r="T43" s="4">
        <f t="shared" si="0"/>
        <v>-3500</v>
      </c>
      <c r="U43" s="85"/>
      <c r="V43" s="86">
        <f>[3]RATER!Z44</f>
        <v>0</v>
      </c>
      <c r="W43" s="87"/>
      <c r="X43" s="2"/>
      <c r="Y43" s="85"/>
      <c r="Z43" s="88"/>
      <c r="AA43" s="3">
        <f t="shared" si="1"/>
        <v>5000</v>
      </c>
      <c r="AB43" s="89">
        <f t="shared" si="2"/>
        <v>0</v>
      </c>
      <c r="AC43" s="57">
        <f t="shared" si="3"/>
        <v>0</v>
      </c>
      <c r="AD43" s="57">
        <f t="shared" si="4"/>
        <v>10</v>
      </c>
    </row>
    <row r="44" spans="2:151" ht="15" customHeight="1">
      <c r="B44" s="84">
        <v>1</v>
      </c>
      <c r="C44" s="2" t="e">
        <f>'[3]APP - QUESTIONNAIRE'!C44</f>
        <v>#REF!</v>
      </c>
      <c r="D44" s="1267" t="str">
        <f>'[3]APP - QUESTIONNAIRE'!D44:F44</f>
        <v xml:space="preserve"> </v>
      </c>
      <c r="E44" s="1268"/>
      <c r="F44" s="1269"/>
      <c r="G44" s="1267" t="str">
        <f>'[3]APP - QUESTIONNAIRE'!G44:I44</f>
        <v xml:space="preserve"> </v>
      </c>
      <c r="H44" s="1268"/>
      <c r="I44" s="1269"/>
      <c r="J44" s="1267" t="str">
        <f>'[3]APP - QUESTIONNAIRE'!J44:L44</f>
        <v xml:space="preserve"> </v>
      </c>
      <c r="K44" s="1268"/>
      <c r="L44" s="1269"/>
      <c r="M44" s="1267" t="str">
        <f>'[3]APP - QUESTIONNAIRE'!M44:O44</f>
        <v xml:space="preserve"> </v>
      </c>
      <c r="N44" s="1268"/>
      <c r="O44" s="1269"/>
      <c r="P44" s="1265">
        <f>'[3]APP - QUESTIONNAIRE'!P44:Q44</f>
        <v>0</v>
      </c>
      <c r="Q44" s="1266"/>
      <c r="R44" s="4">
        <f>EQUIPEMENTS!R47</f>
        <v>1500</v>
      </c>
      <c r="S44" s="4"/>
      <c r="T44" s="4">
        <f t="shared" si="0"/>
        <v>-3500</v>
      </c>
      <c r="U44" s="85"/>
      <c r="V44" s="86">
        <f>[3]RATER!Z45</f>
        <v>0</v>
      </c>
      <c r="W44" s="87"/>
      <c r="X44" s="2"/>
      <c r="Y44" s="85"/>
      <c r="Z44" s="88"/>
      <c r="AA44" s="3">
        <f t="shared" si="1"/>
        <v>5000</v>
      </c>
      <c r="AB44" s="89">
        <f t="shared" si="2"/>
        <v>0</v>
      </c>
      <c r="AC44" s="57">
        <f t="shared" si="3"/>
        <v>0</v>
      </c>
      <c r="AD44" s="57">
        <f t="shared" si="4"/>
        <v>10</v>
      </c>
    </row>
    <row r="45" spans="2:151" ht="15" customHeight="1">
      <c r="B45" s="84">
        <v>1</v>
      </c>
      <c r="C45" s="2" t="e">
        <f>'[3]APP - QUESTIONNAIRE'!C45</f>
        <v>#REF!</v>
      </c>
      <c r="D45" s="1267" t="str">
        <f>'[3]APP - QUESTIONNAIRE'!D45:F45</f>
        <v xml:space="preserve"> </v>
      </c>
      <c r="E45" s="1268"/>
      <c r="F45" s="1269"/>
      <c r="G45" s="1267" t="str">
        <f>'[3]APP - QUESTIONNAIRE'!G45:I45</f>
        <v xml:space="preserve"> </v>
      </c>
      <c r="H45" s="1268"/>
      <c r="I45" s="1269"/>
      <c r="J45" s="1267" t="str">
        <f>'[3]APP - QUESTIONNAIRE'!J45:L45</f>
        <v xml:space="preserve"> </v>
      </c>
      <c r="K45" s="1268"/>
      <c r="L45" s="1269"/>
      <c r="M45" s="1267" t="str">
        <f>'[3]APP - QUESTIONNAIRE'!M45:O45</f>
        <v xml:space="preserve"> </v>
      </c>
      <c r="N45" s="1268"/>
      <c r="O45" s="1269"/>
      <c r="P45" s="1265">
        <f>'[3]APP - QUESTIONNAIRE'!P45:Q45</f>
        <v>0</v>
      </c>
      <c r="Q45" s="1266"/>
      <c r="R45" s="4">
        <f>EQUIPEMENTS!R48</f>
        <v>1500</v>
      </c>
      <c r="S45" s="4"/>
      <c r="T45" s="4">
        <f t="shared" si="0"/>
        <v>-3500</v>
      </c>
      <c r="U45" s="85"/>
      <c r="V45" s="86">
        <f>[3]RATER!Z46</f>
        <v>0</v>
      </c>
      <c r="W45" s="87"/>
      <c r="X45" s="2"/>
      <c r="Y45" s="85"/>
      <c r="Z45" s="88"/>
      <c r="AA45" s="3">
        <f t="shared" si="1"/>
        <v>5000</v>
      </c>
      <c r="AB45" s="89">
        <f t="shared" si="2"/>
        <v>0</v>
      </c>
      <c r="AC45" s="57">
        <f t="shared" si="3"/>
        <v>0</v>
      </c>
      <c r="AD45" s="57">
        <f t="shared" si="4"/>
        <v>10</v>
      </c>
    </row>
    <row r="46" spans="2:151" s="90" customFormat="1" ht="9.75" customHeight="1">
      <c r="B46" s="91"/>
      <c r="D46" s="92"/>
      <c r="E46" s="92"/>
      <c r="F46" s="92"/>
      <c r="G46" s="92"/>
      <c r="H46" s="92"/>
      <c r="I46" s="92"/>
      <c r="J46" s="92"/>
      <c r="K46" s="92"/>
      <c r="L46" s="92"/>
      <c r="M46" s="92"/>
      <c r="N46" s="92"/>
      <c r="O46" s="92"/>
      <c r="P46" s="92"/>
      <c r="Q46" s="92"/>
      <c r="R46" s="92"/>
      <c r="S46" s="92"/>
      <c r="T46" s="92"/>
      <c r="V46" s="92"/>
      <c r="X46" s="92"/>
      <c r="Z46" s="92"/>
      <c r="AA46" s="92"/>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c r="EO46" s="57"/>
      <c r="EP46" s="57"/>
      <c r="EQ46" s="57"/>
      <c r="ER46" s="57"/>
      <c r="ES46" s="57"/>
      <c r="ET46" s="57"/>
      <c r="EU46" s="57"/>
    </row>
    <row r="47" spans="2:151" ht="18">
      <c r="B47" s="93" t="s">
        <v>50</v>
      </c>
    </row>
    <row r="49" spans="2:151">
      <c r="B49" s="56" t="s">
        <v>2</v>
      </c>
      <c r="C49" s="56" t="s">
        <v>167</v>
      </c>
      <c r="I49" s="56" t="s">
        <v>164</v>
      </c>
      <c r="X49" s="56" t="s">
        <v>168</v>
      </c>
    </row>
    <row r="50" spans="2:151" ht="15" customHeight="1">
      <c r="B50" s="72" t="s">
        <v>2</v>
      </c>
      <c r="C50" s="5" t="s">
        <v>2</v>
      </c>
      <c r="D50" s="823" t="s">
        <v>2</v>
      </c>
      <c r="E50" s="824"/>
      <c r="F50" s="824"/>
      <c r="G50" s="824"/>
      <c r="H50" s="824"/>
      <c r="I50" s="824"/>
      <c r="J50" s="824"/>
      <c r="K50" s="824"/>
      <c r="L50" s="824"/>
      <c r="M50" s="824"/>
      <c r="N50" s="824"/>
      <c r="O50" s="824"/>
      <c r="P50" s="824"/>
      <c r="Q50" s="824"/>
      <c r="R50" s="824"/>
      <c r="S50" s="824"/>
      <c r="T50" s="824"/>
      <c r="U50" s="824"/>
      <c r="V50" s="825"/>
      <c r="W50" s="94"/>
      <c r="X50" s="1259"/>
      <c r="Y50" s="1260"/>
      <c r="Z50" s="1261"/>
    </row>
    <row r="51" spans="2:151" ht="15" customHeight="1">
      <c r="B51" s="72" t="s">
        <v>2</v>
      </c>
      <c r="C51" s="5" t="s">
        <v>2</v>
      </c>
      <c r="D51" s="823"/>
      <c r="E51" s="824"/>
      <c r="F51" s="824"/>
      <c r="G51" s="824"/>
      <c r="H51" s="824"/>
      <c r="I51" s="824"/>
      <c r="J51" s="824"/>
      <c r="K51" s="824"/>
      <c r="L51" s="824"/>
      <c r="M51" s="824"/>
      <c r="N51" s="824"/>
      <c r="O51" s="824"/>
      <c r="P51" s="824"/>
      <c r="Q51" s="824"/>
      <c r="R51" s="824"/>
      <c r="S51" s="824"/>
      <c r="T51" s="824"/>
      <c r="U51" s="824"/>
      <c r="V51" s="825"/>
      <c r="W51" s="94"/>
      <c r="X51" s="1259"/>
      <c r="Y51" s="1260"/>
      <c r="Z51" s="1261"/>
    </row>
    <row r="52" spans="2:151" ht="15" customHeight="1">
      <c r="B52" s="72" t="s">
        <v>2</v>
      </c>
      <c r="C52" s="5" t="s">
        <v>2</v>
      </c>
      <c r="D52" s="823" t="s">
        <v>2</v>
      </c>
      <c r="E52" s="824"/>
      <c r="F52" s="824"/>
      <c r="G52" s="824"/>
      <c r="H52" s="824"/>
      <c r="I52" s="824"/>
      <c r="J52" s="824"/>
      <c r="K52" s="824"/>
      <c r="L52" s="824"/>
      <c r="M52" s="824"/>
      <c r="N52" s="824"/>
      <c r="O52" s="824"/>
      <c r="P52" s="824"/>
      <c r="Q52" s="824"/>
      <c r="R52" s="824"/>
      <c r="S52" s="824"/>
      <c r="T52" s="824"/>
      <c r="U52" s="824"/>
      <c r="V52" s="825"/>
      <c r="W52" s="94"/>
      <c r="X52" s="1259"/>
      <c r="Y52" s="1260"/>
      <c r="Z52" s="1261"/>
    </row>
    <row r="53" spans="2:151" ht="15" customHeight="1">
      <c r="B53" s="72" t="s">
        <v>2</v>
      </c>
      <c r="C53" s="5" t="s">
        <v>2</v>
      </c>
      <c r="D53" s="823"/>
      <c r="E53" s="824"/>
      <c r="F53" s="824"/>
      <c r="G53" s="824"/>
      <c r="H53" s="824"/>
      <c r="I53" s="824"/>
      <c r="J53" s="824"/>
      <c r="K53" s="824"/>
      <c r="L53" s="824"/>
      <c r="M53" s="824"/>
      <c r="N53" s="824"/>
      <c r="O53" s="824"/>
      <c r="P53" s="824"/>
      <c r="Q53" s="824"/>
      <c r="R53" s="824"/>
      <c r="S53" s="824"/>
      <c r="T53" s="824"/>
      <c r="U53" s="824"/>
      <c r="V53" s="825"/>
      <c r="W53" s="94"/>
      <c r="X53" s="1259"/>
      <c r="Y53" s="1260"/>
      <c r="Z53" s="1261"/>
    </row>
    <row r="54" spans="2:151" ht="15" customHeight="1">
      <c r="B54" s="72" t="s">
        <v>2</v>
      </c>
      <c r="C54" s="5" t="s">
        <v>2</v>
      </c>
      <c r="D54" s="823"/>
      <c r="E54" s="824"/>
      <c r="F54" s="824"/>
      <c r="G54" s="824"/>
      <c r="H54" s="824"/>
      <c r="I54" s="824"/>
      <c r="J54" s="824"/>
      <c r="K54" s="824"/>
      <c r="L54" s="824"/>
      <c r="M54" s="824"/>
      <c r="N54" s="824"/>
      <c r="O54" s="824"/>
      <c r="P54" s="824"/>
      <c r="Q54" s="824"/>
      <c r="R54" s="824"/>
      <c r="S54" s="824"/>
      <c r="T54" s="824"/>
      <c r="U54" s="824"/>
      <c r="V54" s="825"/>
      <c r="W54" s="94"/>
      <c r="X54" s="1259"/>
      <c r="Y54" s="1260"/>
      <c r="Z54" s="1261"/>
    </row>
    <row r="55" spans="2:151" ht="15" customHeight="1">
      <c r="B55" s="72" t="s">
        <v>2</v>
      </c>
      <c r="C55" s="5" t="s">
        <v>2</v>
      </c>
      <c r="D55" s="823"/>
      <c r="E55" s="824"/>
      <c r="F55" s="824"/>
      <c r="G55" s="824"/>
      <c r="H55" s="824"/>
      <c r="I55" s="824"/>
      <c r="J55" s="824"/>
      <c r="K55" s="824"/>
      <c r="L55" s="824"/>
      <c r="M55" s="824"/>
      <c r="N55" s="824"/>
      <c r="O55" s="824"/>
      <c r="P55" s="824"/>
      <c r="Q55" s="824"/>
      <c r="R55" s="824"/>
      <c r="S55" s="824"/>
      <c r="T55" s="824"/>
      <c r="U55" s="824"/>
      <c r="V55" s="825"/>
      <c r="W55" s="94"/>
      <c r="X55" s="1259"/>
      <c r="Y55" s="1260"/>
      <c r="Z55" s="1261"/>
    </row>
    <row r="56" spans="2:151" ht="15" customHeight="1">
      <c r="B56" s="72" t="s">
        <v>2</v>
      </c>
      <c r="C56" s="5" t="s">
        <v>2</v>
      </c>
      <c r="D56" s="823"/>
      <c r="E56" s="824"/>
      <c r="F56" s="824"/>
      <c r="G56" s="824"/>
      <c r="H56" s="824"/>
      <c r="I56" s="824"/>
      <c r="J56" s="824"/>
      <c r="K56" s="824"/>
      <c r="L56" s="824"/>
      <c r="M56" s="824"/>
      <c r="N56" s="824"/>
      <c r="O56" s="824"/>
      <c r="P56" s="824"/>
      <c r="Q56" s="824"/>
      <c r="R56" s="824"/>
      <c r="S56" s="824"/>
      <c r="T56" s="824"/>
      <c r="U56" s="824"/>
      <c r="V56" s="825"/>
      <c r="W56" s="94"/>
      <c r="X56" s="1259"/>
      <c r="Y56" s="1260"/>
      <c r="Z56" s="1261"/>
    </row>
    <row r="57" spans="2:151" ht="15" customHeight="1">
      <c r="B57" s="72" t="s">
        <v>2</v>
      </c>
      <c r="C57" s="5" t="s">
        <v>2</v>
      </c>
      <c r="D57" s="823"/>
      <c r="E57" s="824"/>
      <c r="F57" s="824"/>
      <c r="G57" s="824"/>
      <c r="H57" s="824"/>
      <c r="I57" s="824"/>
      <c r="J57" s="824"/>
      <c r="K57" s="824"/>
      <c r="L57" s="824"/>
      <c r="M57" s="824"/>
      <c r="N57" s="824"/>
      <c r="O57" s="824"/>
      <c r="P57" s="824"/>
      <c r="Q57" s="824"/>
      <c r="R57" s="824"/>
      <c r="S57" s="824"/>
      <c r="T57" s="824"/>
      <c r="U57" s="824"/>
      <c r="V57" s="825"/>
      <c r="W57" s="94"/>
      <c r="X57" s="1259"/>
      <c r="Y57" s="1260"/>
      <c r="Z57" s="1261"/>
    </row>
    <row r="58" spans="2:151" s="95" customFormat="1" ht="13.5" thickBot="1">
      <c r="G58" s="95" t="s">
        <v>2</v>
      </c>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row>
    <row r="59" spans="2:151" hidden="1"/>
    <row r="60" spans="2:151" hidden="1"/>
    <row r="61" spans="2:151" s="90" customFormat="1" ht="15.75">
      <c r="B61" s="97" t="s">
        <v>76</v>
      </c>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row>
    <row r="62" spans="2:151" s="90" customFormat="1" ht="6" customHeight="1">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row>
    <row r="63" spans="2:151" s="90" customFormat="1" ht="17.25" customHeight="1">
      <c r="C63" s="1247" t="s">
        <v>138</v>
      </c>
      <c r="D63" s="1247"/>
      <c r="E63" s="1247"/>
      <c r="F63" s="1247"/>
      <c r="G63" s="1247"/>
      <c r="H63" s="1247"/>
      <c r="I63" s="1247"/>
      <c r="K63" s="786" t="str">
        <f>F8</f>
        <v xml:space="preserve"> </v>
      </c>
      <c r="L63" s="786"/>
      <c r="M63" s="786"/>
      <c r="N63" s="786"/>
      <c r="O63" s="786"/>
      <c r="P63" s="786"/>
      <c r="Q63" s="786"/>
      <c r="R63" s="786"/>
      <c r="S63" s="786"/>
      <c r="T63" s="786"/>
      <c r="U63" s="786"/>
      <c r="V63" s="786"/>
      <c r="W63" s="786"/>
      <c r="X63" s="786"/>
      <c r="Y63" s="786"/>
      <c r="Z63" s="786"/>
      <c r="AA63" s="786"/>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row>
    <row r="64" spans="2:151" s="90" customFormat="1" ht="28.5" customHeight="1">
      <c r="C64" s="1262" t="s">
        <v>174</v>
      </c>
      <c r="D64" s="1263"/>
      <c r="E64" s="1263"/>
      <c r="F64" s="1263"/>
      <c r="G64" s="1263"/>
      <c r="H64" s="1263"/>
      <c r="I64" s="1264"/>
      <c r="K64" s="786"/>
      <c r="L64" s="786"/>
      <c r="M64" s="786"/>
      <c r="N64" s="786"/>
      <c r="O64" s="786"/>
      <c r="P64" s="786"/>
      <c r="Q64" s="786"/>
      <c r="R64" s="786"/>
      <c r="S64" s="786"/>
      <c r="T64" s="786"/>
      <c r="U64" s="786"/>
      <c r="V64" s="786"/>
      <c r="W64" s="786"/>
      <c r="X64" s="786"/>
      <c r="Y64" s="786"/>
      <c r="Z64" s="786"/>
      <c r="AA64" s="786"/>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row>
    <row r="65" spans="2:151" s="90" customFormat="1" ht="15" customHeight="1">
      <c r="C65" s="1247" t="s">
        <v>77</v>
      </c>
      <c r="D65" s="1247"/>
      <c r="E65" s="1247"/>
      <c r="F65" s="1247"/>
      <c r="G65" s="1247"/>
      <c r="H65" s="1247"/>
      <c r="I65" s="1247"/>
      <c r="K65" s="786"/>
      <c r="L65" s="786"/>
      <c r="M65" s="786"/>
      <c r="N65" s="786"/>
      <c r="O65" s="786"/>
      <c r="P65" s="786"/>
      <c r="Q65" s="786"/>
      <c r="R65" s="786"/>
      <c r="S65" s="786"/>
      <c r="T65" s="786"/>
      <c r="U65" s="786"/>
      <c r="V65" s="786"/>
      <c r="W65" s="786"/>
      <c r="X65" s="786"/>
      <c r="Y65" s="786"/>
      <c r="Z65" s="786"/>
      <c r="AA65" s="786"/>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row>
    <row r="66" spans="2:151" s="90" customFormat="1" ht="15" customHeight="1">
      <c r="C66" s="1247" t="s">
        <v>78</v>
      </c>
      <c r="D66" s="1247"/>
      <c r="E66" s="1247"/>
      <c r="F66" s="1247"/>
      <c r="G66" s="1247"/>
      <c r="H66" s="1247"/>
      <c r="I66" s="1247"/>
      <c r="K66" s="786"/>
      <c r="L66" s="786"/>
      <c r="M66" s="786"/>
      <c r="N66" s="786"/>
      <c r="O66" s="786"/>
      <c r="P66" s="786"/>
      <c r="Q66" s="786"/>
      <c r="R66" s="786"/>
      <c r="S66" s="786"/>
      <c r="T66" s="786"/>
      <c r="U66" s="786"/>
      <c r="V66" s="786"/>
      <c r="W66" s="786"/>
      <c r="X66" s="786"/>
      <c r="Y66" s="786"/>
      <c r="Z66" s="786"/>
      <c r="AA66" s="786"/>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row>
    <row r="67" spans="2:151" s="90" customFormat="1" ht="15" customHeight="1">
      <c r="C67" s="1247" t="s">
        <v>79</v>
      </c>
      <c r="D67" s="1247"/>
      <c r="E67" s="1247"/>
      <c r="F67" s="1247"/>
      <c r="G67" s="1247"/>
      <c r="H67" s="1247"/>
      <c r="I67" s="1247"/>
      <c r="K67" s="786"/>
      <c r="L67" s="786"/>
      <c r="M67" s="786"/>
      <c r="N67" s="786"/>
      <c r="O67" s="786"/>
      <c r="P67" s="786"/>
      <c r="Q67" s="786"/>
      <c r="R67" s="786"/>
      <c r="S67" s="786"/>
      <c r="T67" s="786"/>
      <c r="U67" s="786"/>
      <c r="V67" s="786"/>
      <c r="W67" s="786"/>
      <c r="X67" s="786"/>
      <c r="Y67" s="786"/>
      <c r="Z67" s="786"/>
      <c r="AA67" s="786"/>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row>
    <row r="68" spans="2:151" s="90" customFormat="1" ht="15" customHeight="1">
      <c r="C68" s="1247" t="s">
        <v>80</v>
      </c>
      <c r="D68" s="1247"/>
      <c r="E68" s="1247"/>
      <c r="F68" s="1247"/>
      <c r="G68" s="1247"/>
      <c r="H68" s="1247"/>
      <c r="I68" s="1247"/>
      <c r="K68" s="786"/>
      <c r="L68" s="786"/>
      <c r="M68" s="786"/>
      <c r="N68" s="786"/>
      <c r="O68" s="786"/>
      <c r="P68" s="786"/>
      <c r="Q68" s="786"/>
      <c r="R68" s="786"/>
      <c r="S68" s="786"/>
      <c r="T68" s="786"/>
      <c r="U68" s="786"/>
      <c r="V68" s="786"/>
      <c r="W68" s="786"/>
      <c r="X68" s="786"/>
      <c r="Y68" s="786"/>
      <c r="Z68" s="786"/>
      <c r="AA68" s="786"/>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row>
    <row r="69" spans="2:151" s="90" customFormat="1" ht="15.75" customHeight="1">
      <c r="C69" s="1247" t="s">
        <v>81</v>
      </c>
      <c r="D69" s="1247"/>
      <c r="E69" s="1247"/>
      <c r="F69" s="1247"/>
      <c r="G69" s="1247"/>
      <c r="H69" s="1247"/>
      <c r="I69" s="1247"/>
      <c r="K69" s="786"/>
      <c r="L69" s="786"/>
      <c r="M69" s="786"/>
      <c r="N69" s="786"/>
      <c r="O69" s="786"/>
      <c r="P69" s="786"/>
      <c r="Q69" s="786"/>
      <c r="R69" s="786"/>
      <c r="S69" s="786"/>
      <c r="T69" s="786"/>
      <c r="U69" s="786"/>
      <c r="V69" s="786"/>
      <c r="W69" s="786"/>
      <c r="X69" s="786"/>
      <c r="Y69" s="786"/>
      <c r="Z69" s="786"/>
      <c r="AA69" s="786"/>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row>
    <row r="70" spans="2:151" s="90" customFormat="1" ht="15" customHeight="1">
      <c r="C70" s="1248" t="s">
        <v>90</v>
      </c>
      <c r="D70" s="1248"/>
      <c r="E70" s="1248"/>
      <c r="F70" s="1248"/>
      <c r="G70" s="1248"/>
      <c r="H70" s="1248"/>
      <c r="I70" s="1248"/>
      <c r="K70" s="786"/>
      <c r="L70" s="786"/>
      <c r="M70" s="786"/>
      <c r="N70" s="786"/>
      <c r="O70" s="786"/>
      <c r="P70" s="786"/>
      <c r="Q70" s="786"/>
      <c r="R70" s="786"/>
      <c r="S70" s="786"/>
      <c r="T70" s="786"/>
      <c r="U70" s="786"/>
      <c r="V70" s="786"/>
      <c r="W70" s="786"/>
      <c r="X70" s="786"/>
      <c r="Y70" s="786"/>
      <c r="Z70" s="786"/>
      <c r="AA70" s="786"/>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row>
    <row r="71" spans="2:151" s="90" customFormat="1" ht="15" customHeight="1">
      <c r="C71" s="1248" t="s">
        <v>89</v>
      </c>
      <c r="D71" s="1248"/>
      <c r="E71" s="1248"/>
      <c r="F71" s="1248"/>
      <c r="G71" s="1248"/>
      <c r="H71" s="1248"/>
      <c r="I71" s="1248"/>
      <c r="K71" s="786"/>
      <c r="L71" s="786"/>
      <c r="M71" s="786"/>
      <c r="N71" s="786"/>
      <c r="O71" s="786"/>
      <c r="P71" s="786"/>
      <c r="Q71" s="786"/>
      <c r="R71" s="786"/>
      <c r="S71" s="786"/>
      <c r="T71" s="786"/>
      <c r="U71" s="786"/>
      <c r="V71" s="786"/>
      <c r="W71" s="786"/>
      <c r="X71" s="786"/>
      <c r="Y71" s="786"/>
      <c r="Z71" s="786"/>
      <c r="AA71" s="786"/>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row>
    <row r="72" spans="2:151" s="90" customFormat="1" ht="15" customHeight="1">
      <c r="C72" s="1249" t="s">
        <v>82</v>
      </c>
      <c r="D72" s="1247"/>
      <c r="E72" s="1247"/>
      <c r="F72" s="1247"/>
      <c r="G72" s="1247"/>
      <c r="H72" s="1247"/>
      <c r="I72" s="1247"/>
      <c r="K72" s="786"/>
      <c r="L72" s="786"/>
      <c r="M72" s="786"/>
      <c r="N72" s="786"/>
      <c r="O72" s="786"/>
      <c r="P72" s="786"/>
      <c r="Q72" s="786"/>
      <c r="R72" s="786"/>
      <c r="S72" s="786"/>
      <c r="T72" s="786"/>
      <c r="U72" s="786"/>
      <c r="V72" s="786"/>
      <c r="W72" s="786"/>
      <c r="X72" s="786"/>
      <c r="Y72" s="786"/>
      <c r="Z72" s="786"/>
      <c r="AA72" s="786"/>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row>
    <row r="73" spans="2:151" s="90" customFormat="1">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row>
    <row r="74" spans="2:151" s="90" customFormat="1" ht="15.75">
      <c r="B74" s="97" t="s">
        <v>83</v>
      </c>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row>
    <row r="75" spans="2:151" s="90" customFormat="1" ht="5.25" customHeight="1">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row>
    <row r="76" spans="2:151" s="90" customFormat="1">
      <c r="C76" s="98" t="s">
        <v>160</v>
      </c>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row>
    <row r="77" spans="2:151" s="90" customFormat="1" ht="6.75" customHeight="1" thickBot="1">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row>
    <row r="78" spans="2:151" s="90" customFormat="1">
      <c r="C78" s="1250" t="s">
        <v>103</v>
      </c>
      <c r="D78" s="1251"/>
      <c r="E78" s="1251"/>
      <c r="F78" s="1251"/>
      <c r="G78" s="1251"/>
      <c r="H78" s="1251"/>
      <c r="I78" s="1251"/>
      <c r="J78" s="1251"/>
      <c r="K78" s="1251"/>
      <c r="L78" s="1251"/>
      <c r="M78" s="1251"/>
      <c r="N78" s="1251"/>
      <c r="O78" s="1251"/>
      <c r="P78" s="1251"/>
      <c r="Q78" s="1251"/>
      <c r="R78" s="1251"/>
      <c r="S78" s="1251"/>
      <c r="T78" s="1251"/>
      <c r="U78" s="1251"/>
      <c r="V78" s="1251"/>
      <c r="W78" s="1251"/>
      <c r="X78" s="1251"/>
      <c r="Y78" s="1251"/>
      <c r="Z78" s="1251"/>
      <c r="AA78" s="1252"/>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row>
    <row r="79" spans="2:151" s="90" customFormat="1">
      <c r="C79" s="1253"/>
      <c r="D79" s="1254"/>
      <c r="E79" s="1254"/>
      <c r="F79" s="1254"/>
      <c r="G79" s="1254"/>
      <c r="H79" s="1254"/>
      <c r="I79" s="1254"/>
      <c r="J79" s="1254"/>
      <c r="K79" s="1254"/>
      <c r="L79" s="1254"/>
      <c r="M79" s="1254"/>
      <c r="N79" s="1254"/>
      <c r="O79" s="1254"/>
      <c r="P79" s="1254"/>
      <c r="Q79" s="1254"/>
      <c r="R79" s="1254"/>
      <c r="S79" s="1254"/>
      <c r="T79" s="1254"/>
      <c r="U79" s="1254"/>
      <c r="V79" s="1254"/>
      <c r="W79" s="1254"/>
      <c r="X79" s="1254"/>
      <c r="Y79" s="1254"/>
      <c r="Z79" s="1254"/>
      <c r="AA79" s="1255"/>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row>
    <row r="80" spans="2:151" s="90" customFormat="1">
      <c r="C80" s="1253"/>
      <c r="D80" s="1254"/>
      <c r="E80" s="1254"/>
      <c r="F80" s="1254"/>
      <c r="G80" s="1254"/>
      <c r="H80" s="1254"/>
      <c r="I80" s="1254"/>
      <c r="J80" s="1254"/>
      <c r="K80" s="1254"/>
      <c r="L80" s="1254"/>
      <c r="M80" s="1254"/>
      <c r="N80" s="1254"/>
      <c r="O80" s="1254"/>
      <c r="P80" s="1254"/>
      <c r="Q80" s="1254"/>
      <c r="R80" s="1254"/>
      <c r="S80" s="1254"/>
      <c r="T80" s="1254"/>
      <c r="U80" s="1254"/>
      <c r="V80" s="1254"/>
      <c r="W80" s="1254"/>
      <c r="X80" s="1254"/>
      <c r="Y80" s="1254"/>
      <c r="Z80" s="1254"/>
      <c r="AA80" s="1255"/>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row>
    <row r="81" spans="2:151" s="90" customFormat="1">
      <c r="C81" s="1253"/>
      <c r="D81" s="1254"/>
      <c r="E81" s="1254"/>
      <c r="F81" s="1254"/>
      <c r="G81" s="1254"/>
      <c r="H81" s="1254"/>
      <c r="I81" s="1254"/>
      <c r="J81" s="1254"/>
      <c r="K81" s="1254"/>
      <c r="L81" s="1254"/>
      <c r="M81" s="1254"/>
      <c r="N81" s="1254"/>
      <c r="O81" s="1254"/>
      <c r="P81" s="1254"/>
      <c r="Q81" s="1254"/>
      <c r="R81" s="1254"/>
      <c r="S81" s="1254"/>
      <c r="T81" s="1254"/>
      <c r="U81" s="1254"/>
      <c r="V81" s="1254"/>
      <c r="W81" s="1254"/>
      <c r="X81" s="1254"/>
      <c r="Y81" s="1254"/>
      <c r="Z81" s="1254"/>
      <c r="AA81" s="1255"/>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row>
    <row r="82" spans="2:151" s="90" customFormat="1" ht="14.25" customHeight="1" thickBot="1">
      <c r="C82" s="1256"/>
      <c r="D82" s="1257"/>
      <c r="E82" s="1257"/>
      <c r="F82" s="1257"/>
      <c r="G82" s="1257"/>
      <c r="H82" s="1257"/>
      <c r="I82" s="1257"/>
      <c r="J82" s="1257"/>
      <c r="K82" s="1257"/>
      <c r="L82" s="1257"/>
      <c r="M82" s="1257"/>
      <c r="N82" s="1257"/>
      <c r="O82" s="1257"/>
      <c r="P82" s="1257"/>
      <c r="Q82" s="1257"/>
      <c r="R82" s="1257"/>
      <c r="S82" s="1257"/>
      <c r="T82" s="1257"/>
      <c r="U82" s="1257"/>
      <c r="V82" s="1257"/>
      <c r="W82" s="1257"/>
      <c r="X82" s="1257"/>
      <c r="Y82" s="1257"/>
      <c r="Z82" s="1257"/>
      <c r="AA82" s="1258"/>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row>
    <row r="83" spans="2:151" s="90" customFormat="1">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row>
    <row r="84" spans="2:151" s="90" customFormat="1" ht="15.75">
      <c r="B84" s="97" t="s">
        <v>161</v>
      </c>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c r="EO84" s="57"/>
      <c r="EP84" s="57"/>
      <c r="EQ84" s="57"/>
      <c r="ER84" s="57"/>
      <c r="ES84" s="57"/>
      <c r="ET84" s="57"/>
      <c r="EU84" s="57"/>
    </row>
    <row r="85" spans="2:151" s="90" customFormat="1" ht="6" customHeight="1">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row>
    <row r="86" spans="2:151" s="90" customFormat="1" ht="15.75" customHeight="1">
      <c r="C86" s="1247" t="s">
        <v>84</v>
      </c>
      <c r="D86" s="1247"/>
      <c r="E86" s="1247"/>
      <c r="F86" s="1247"/>
      <c r="G86" s="1247"/>
      <c r="H86" s="1247"/>
      <c r="I86" s="1247"/>
      <c r="K86" s="786"/>
      <c r="L86" s="786"/>
      <c r="M86" s="786"/>
      <c r="N86" s="786"/>
      <c r="O86" s="786"/>
      <c r="P86" s="786"/>
      <c r="Q86" s="786"/>
      <c r="R86" s="786"/>
      <c r="S86" s="786"/>
      <c r="T86" s="786"/>
      <c r="U86" s="786"/>
      <c r="V86" s="786"/>
      <c r="W86" s="786"/>
      <c r="X86" s="786"/>
      <c r="Y86" s="786"/>
      <c r="Z86" s="786"/>
      <c r="AA86" s="786"/>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row>
    <row r="87" spans="2:151" s="90" customFormat="1" ht="15.75" customHeight="1">
      <c r="C87" s="1247" t="s">
        <v>25</v>
      </c>
      <c r="D87" s="1247"/>
      <c r="E87" s="1247"/>
      <c r="F87" s="1247"/>
      <c r="G87" s="1247"/>
      <c r="H87" s="1247"/>
      <c r="I87" s="1247"/>
      <c r="K87" s="786"/>
      <c r="L87" s="786"/>
      <c r="M87" s="786"/>
      <c r="N87" s="786"/>
      <c r="O87" s="786"/>
      <c r="P87" s="786"/>
      <c r="Q87" s="786"/>
      <c r="R87" s="786"/>
      <c r="S87" s="786"/>
      <c r="T87" s="786"/>
      <c r="U87" s="786"/>
      <c r="V87" s="786"/>
      <c r="W87" s="786"/>
      <c r="X87" s="786"/>
      <c r="Y87" s="786"/>
      <c r="Z87" s="786"/>
      <c r="AA87" s="786"/>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row>
    <row r="88" spans="2:151" s="90" customFormat="1" ht="15.75" customHeight="1">
      <c r="C88" s="1239" t="s">
        <v>85</v>
      </c>
      <c r="D88" s="1239"/>
      <c r="E88" s="1239"/>
      <c r="F88" s="1239"/>
      <c r="G88" s="1239"/>
      <c r="H88" s="1239"/>
      <c r="I88" s="1239"/>
      <c r="K88" s="786" t="s">
        <v>86</v>
      </c>
      <c r="L88" s="786"/>
      <c r="M88" s="786"/>
      <c r="N88" s="786"/>
      <c r="O88" s="786"/>
      <c r="P88" s="786"/>
      <c r="Q88" s="786"/>
      <c r="R88" s="786"/>
      <c r="S88" s="786"/>
      <c r="T88" s="786"/>
      <c r="U88" s="786"/>
      <c r="V88" s="786"/>
      <c r="W88" s="786"/>
      <c r="X88" s="786"/>
      <c r="Y88" s="786"/>
      <c r="Z88" s="786"/>
      <c r="AA88" s="786"/>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c r="ER88" s="57"/>
      <c r="ES88" s="57"/>
      <c r="ET88" s="57"/>
      <c r="EU88" s="57"/>
    </row>
    <row r="89" spans="2:151" s="90" customFormat="1" ht="15.75" customHeight="1">
      <c r="C89" s="1239" t="s">
        <v>87</v>
      </c>
      <c r="D89" s="1239"/>
      <c r="E89" s="1239"/>
      <c r="F89" s="1239"/>
      <c r="G89" s="1239"/>
      <c r="H89" s="1239"/>
      <c r="I89" s="1239"/>
      <c r="K89" s="786" t="s">
        <v>86</v>
      </c>
      <c r="L89" s="786"/>
      <c r="M89" s="786"/>
      <c r="N89" s="786"/>
      <c r="O89" s="786"/>
      <c r="P89" s="786"/>
      <c r="Q89" s="786"/>
      <c r="R89" s="786"/>
      <c r="S89" s="786"/>
      <c r="T89" s="786"/>
      <c r="U89" s="786"/>
      <c r="V89" s="786"/>
      <c r="W89" s="786"/>
      <c r="X89" s="786"/>
      <c r="Y89" s="786"/>
      <c r="Z89" s="786"/>
      <c r="AA89" s="786"/>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row>
    <row r="90" spans="2:151" s="90" customFormat="1" ht="15.75" customHeight="1">
      <c r="C90" s="1239" t="s">
        <v>91</v>
      </c>
      <c r="D90" s="1239"/>
      <c r="E90" s="1239"/>
      <c r="F90" s="1239"/>
      <c r="G90" s="1239"/>
      <c r="H90" s="1239"/>
      <c r="I90" s="1239"/>
      <c r="K90" s="786" t="s">
        <v>86</v>
      </c>
      <c r="L90" s="786"/>
      <c r="M90" s="786"/>
      <c r="N90" s="786"/>
      <c r="O90" s="786"/>
      <c r="P90" s="786"/>
      <c r="Q90" s="786"/>
      <c r="R90" s="786"/>
      <c r="S90" s="786"/>
      <c r="T90" s="786"/>
      <c r="U90" s="786"/>
      <c r="V90" s="786"/>
      <c r="W90" s="786"/>
      <c r="X90" s="786"/>
      <c r="Y90" s="786"/>
      <c r="Z90" s="786"/>
      <c r="AA90" s="786"/>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row>
    <row r="91" spans="2:151" s="90" customFormat="1" ht="15.75" customHeight="1">
      <c r="C91" s="1239" t="s">
        <v>88</v>
      </c>
      <c r="D91" s="1239"/>
      <c r="E91" s="1239"/>
      <c r="F91" s="1239"/>
      <c r="G91" s="1239"/>
      <c r="H91" s="1239"/>
      <c r="I91" s="1239"/>
      <c r="K91" s="786" t="s">
        <v>86</v>
      </c>
      <c r="L91" s="786"/>
      <c r="M91" s="786"/>
      <c r="N91" s="786"/>
      <c r="O91" s="786"/>
      <c r="P91" s="786"/>
      <c r="Q91" s="786"/>
      <c r="R91" s="786"/>
      <c r="S91" s="786"/>
      <c r="T91" s="786"/>
      <c r="U91" s="786"/>
      <c r="V91" s="786"/>
      <c r="W91" s="786"/>
      <c r="X91" s="786"/>
      <c r="Y91" s="786"/>
      <c r="Z91" s="786"/>
      <c r="AA91" s="786"/>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c r="EO91" s="57"/>
      <c r="EP91" s="57"/>
      <c r="EQ91" s="57"/>
      <c r="ER91" s="57"/>
      <c r="ES91" s="57"/>
      <c r="ET91" s="57"/>
      <c r="EU91" s="57"/>
    </row>
    <row r="92" spans="2:151" s="90" customFormat="1" ht="15.75" customHeight="1">
      <c r="C92" s="1239" t="s">
        <v>115</v>
      </c>
      <c r="D92" s="1239"/>
      <c r="E92" s="1239"/>
      <c r="F92" s="1239"/>
      <c r="G92" s="1239"/>
      <c r="H92" s="1239"/>
      <c r="I92" s="1239"/>
      <c r="K92" s="1243" t="e">
        <f>V13</f>
        <v>#REF!</v>
      </c>
      <c r="L92" s="786"/>
      <c r="M92" s="786"/>
      <c r="N92" s="786"/>
      <c r="O92" s="786"/>
      <c r="P92" s="786"/>
      <c r="Q92" s="786"/>
      <c r="R92" s="786"/>
      <c r="S92" s="786"/>
      <c r="T92" s="786"/>
      <c r="U92" s="786"/>
      <c r="V92" s="786"/>
      <c r="W92" s="786"/>
      <c r="X92" s="786"/>
      <c r="Y92" s="786"/>
      <c r="Z92" s="786"/>
      <c r="AA92" s="786"/>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c r="EP92" s="57"/>
      <c r="EQ92" s="57"/>
      <c r="ER92" s="57"/>
      <c r="ES92" s="57"/>
      <c r="ET92" s="57"/>
      <c r="EU92" s="57"/>
    </row>
    <row r="93" spans="2:151" s="90" customFormat="1" ht="15.75" customHeight="1">
      <c r="C93" s="1239" t="s">
        <v>116</v>
      </c>
      <c r="D93" s="1239"/>
      <c r="E93" s="1239"/>
      <c r="F93" s="1239"/>
      <c r="G93" s="1239"/>
      <c r="H93" s="1239"/>
      <c r="I93" s="1239"/>
      <c r="K93" s="786"/>
      <c r="L93" s="786"/>
      <c r="M93" s="786"/>
      <c r="N93" s="786"/>
      <c r="O93" s="786"/>
      <c r="P93" s="786"/>
      <c r="Q93" s="786"/>
      <c r="R93" s="786"/>
      <c r="S93" s="786"/>
      <c r="T93" s="786"/>
      <c r="U93" s="786"/>
      <c r="V93" s="786"/>
      <c r="W93" s="786"/>
      <c r="X93" s="786"/>
      <c r="Y93" s="786"/>
      <c r="Z93" s="786"/>
      <c r="AA93" s="786"/>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c r="EO93" s="57"/>
      <c r="EP93" s="57"/>
      <c r="EQ93" s="57"/>
      <c r="ER93" s="57"/>
      <c r="ES93" s="57"/>
      <c r="ET93" s="57"/>
      <c r="EU93" s="57"/>
    </row>
    <row r="94" spans="2:151" s="90" customFormat="1" ht="15.75" customHeight="1">
      <c r="C94" s="1239" t="s">
        <v>121</v>
      </c>
      <c r="D94" s="1239"/>
      <c r="E94" s="1239"/>
      <c r="F94" s="1239"/>
      <c r="G94" s="1239"/>
      <c r="H94" s="1239"/>
      <c r="I94" s="1239"/>
      <c r="K94" s="786"/>
      <c r="L94" s="786"/>
      <c r="M94" s="786"/>
      <c r="N94" s="786"/>
      <c r="O94" s="786"/>
      <c r="P94" s="786"/>
      <c r="Q94" s="786"/>
      <c r="R94" s="786"/>
      <c r="S94" s="786"/>
      <c r="T94" s="786"/>
      <c r="U94" s="786"/>
      <c r="V94" s="786"/>
      <c r="W94" s="786"/>
      <c r="X94" s="786"/>
      <c r="Y94" s="786"/>
      <c r="Z94" s="786"/>
      <c r="AA94" s="786"/>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c r="EC94" s="57"/>
      <c r="ED94" s="57"/>
      <c r="EE94" s="57"/>
      <c r="EF94" s="57"/>
      <c r="EG94" s="57"/>
      <c r="EH94" s="57"/>
      <c r="EI94" s="57"/>
      <c r="EJ94" s="57"/>
      <c r="EK94" s="57"/>
      <c r="EL94" s="57"/>
      <c r="EM94" s="57"/>
      <c r="EN94" s="57"/>
      <c r="EO94" s="57"/>
      <c r="EP94" s="57"/>
      <c r="EQ94" s="57"/>
      <c r="ER94" s="57"/>
      <c r="ES94" s="57"/>
      <c r="ET94" s="57"/>
      <c r="EU94" s="57"/>
    </row>
    <row r="95" spans="2:151" s="90" customFormat="1" ht="15.75" customHeight="1">
      <c r="C95" s="1239" t="s">
        <v>101</v>
      </c>
      <c r="D95" s="1239"/>
      <c r="E95" s="1239"/>
      <c r="F95" s="1239"/>
      <c r="G95" s="1239"/>
      <c r="H95" s="1239"/>
      <c r="I95" s="1239"/>
      <c r="K95" s="786"/>
      <c r="L95" s="786"/>
      <c r="M95" s="786"/>
      <c r="N95" s="786"/>
      <c r="O95" s="786"/>
      <c r="P95" s="786"/>
      <c r="Q95" s="786"/>
      <c r="R95" s="786"/>
      <c r="S95" s="786"/>
      <c r="T95" s="786"/>
      <c r="U95" s="786"/>
      <c r="V95" s="786"/>
      <c r="W95" s="786"/>
      <c r="X95" s="786"/>
      <c r="Y95" s="786"/>
      <c r="Z95" s="786"/>
      <c r="AA95" s="786"/>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c r="EC95" s="57"/>
      <c r="ED95" s="57"/>
      <c r="EE95" s="57"/>
      <c r="EF95" s="57"/>
      <c r="EG95" s="57"/>
      <c r="EH95" s="57"/>
      <c r="EI95" s="57"/>
      <c r="EJ95" s="57"/>
      <c r="EK95" s="57"/>
      <c r="EL95" s="57"/>
      <c r="EM95" s="57"/>
      <c r="EN95" s="57"/>
      <c r="EO95" s="57"/>
      <c r="EP95" s="57"/>
      <c r="EQ95" s="57"/>
      <c r="ER95" s="57"/>
      <c r="ES95" s="57"/>
      <c r="ET95" s="57"/>
      <c r="EU95" s="57"/>
    </row>
    <row r="96" spans="2:151" s="90" customFormat="1" ht="15.75" customHeight="1">
      <c r="C96" s="1239" t="s">
        <v>92</v>
      </c>
      <c r="D96" s="1239"/>
      <c r="E96" s="1239"/>
      <c r="F96" s="1239"/>
      <c r="G96" s="1239"/>
      <c r="H96" s="1239"/>
      <c r="I96" s="1239"/>
      <c r="K96" s="786"/>
      <c r="L96" s="786"/>
      <c r="M96" s="786"/>
      <c r="N96" s="786"/>
      <c r="O96" s="786"/>
      <c r="P96" s="786"/>
      <c r="Q96" s="786"/>
      <c r="R96" s="786"/>
      <c r="S96" s="786"/>
      <c r="T96" s="786"/>
      <c r="U96" s="786"/>
      <c r="V96" s="786"/>
      <c r="W96" s="786"/>
      <c r="X96" s="786"/>
      <c r="Y96" s="786"/>
      <c r="Z96" s="786"/>
      <c r="AA96" s="786"/>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row>
    <row r="97" spans="2:151" s="90" customFormat="1">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row>
    <row r="98" spans="2:151" s="90" customFormat="1" ht="15.75">
      <c r="B98" s="97" t="s">
        <v>93</v>
      </c>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c r="EB98" s="57"/>
      <c r="EC98" s="57"/>
      <c r="ED98" s="57"/>
      <c r="EE98" s="57"/>
      <c r="EF98" s="57"/>
      <c r="EG98" s="57"/>
      <c r="EH98" s="57"/>
      <c r="EI98" s="57"/>
      <c r="EJ98" s="57"/>
      <c r="EK98" s="57"/>
      <c r="EL98" s="57"/>
      <c r="EM98" s="57"/>
      <c r="EN98" s="57"/>
      <c r="EO98" s="57"/>
      <c r="EP98" s="57"/>
      <c r="EQ98" s="57"/>
      <c r="ER98" s="57"/>
      <c r="ES98" s="57"/>
      <c r="ET98" s="57"/>
      <c r="EU98" s="57"/>
    </row>
    <row r="99" spans="2:151" s="90" customFormat="1" ht="6" customHeight="1">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row>
    <row r="100" spans="2:151" s="90" customFormat="1" ht="27.75" customHeight="1">
      <c r="C100" s="1244" t="s">
        <v>117</v>
      </c>
      <c r="D100" s="1245"/>
      <c r="E100" s="1245"/>
      <c r="F100" s="1245"/>
      <c r="G100" s="1245"/>
      <c r="H100" s="1245"/>
      <c r="I100" s="1246"/>
      <c r="K100" s="786"/>
      <c r="L100" s="786"/>
      <c r="M100" s="786"/>
      <c r="N100" s="786"/>
      <c r="O100" s="786"/>
      <c r="P100" s="786"/>
      <c r="Q100" s="786"/>
      <c r="R100" s="786"/>
      <c r="S100" s="786"/>
      <c r="T100" s="786"/>
      <c r="U100" s="786"/>
      <c r="V100" s="786"/>
      <c r="W100" s="786"/>
      <c r="X100" s="786"/>
      <c r="Y100" s="786"/>
      <c r="Z100" s="786"/>
      <c r="AA100" s="786"/>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row>
    <row r="101" spans="2:151" s="90" customFormat="1" ht="23.25" customHeight="1">
      <c r="C101" s="1240" t="s">
        <v>162</v>
      </c>
      <c r="D101" s="1241"/>
      <c r="E101" s="1241"/>
      <c r="F101" s="1241"/>
      <c r="G101" s="1241"/>
      <c r="H101" s="1241"/>
      <c r="I101" s="1242"/>
      <c r="K101" s="786" t="s">
        <v>2</v>
      </c>
      <c r="L101" s="786"/>
      <c r="M101" s="786"/>
      <c r="N101" s="786"/>
      <c r="O101" s="786"/>
      <c r="P101" s="786"/>
      <c r="Q101" s="786"/>
      <c r="R101" s="786"/>
      <c r="S101" s="786"/>
      <c r="T101" s="786"/>
      <c r="U101" s="786"/>
      <c r="V101" s="786"/>
      <c r="W101" s="786"/>
      <c r="X101" s="786"/>
      <c r="Y101" s="786"/>
      <c r="Z101" s="786"/>
      <c r="AA101" s="786"/>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row>
    <row r="102" spans="2:151" s="90" customFormat="1" ht="15.75" customHeight="1">
      <c r="C102" s="1239" t="s">
        <v>118</v>
      </c>
      <c r="D102" s="1239"/>
      <c r="E102" s="1239"/>
      <c r="F102" s="1239"/>
      <c r="G102" s="1239"/>
      <c r="H102" s="1239"/>
      <c r="I102" s="1239"/>
      <c r="K102" s="1243" t="s">
        <v>2</v>
      </c>
      <c r="L102" s="1243"/>
      <c r="M102" s="1243"/>
      <c r="N102" s="1243"/>
      <c r="O102" s="1243"/>
      <c r="P102" s="1243"/>
      <c r="Q102" s="1243"/>
      <c r="R102" s="1243"/>
      <c r="S102" s="1243"/>
      <c r="T102" s="1243"/>
      <c r="U102" s="1243"/>
      <c r="V102" s="1243"/>
      <c r="W102" s="1243"/>
      <c r="X102" s="1243"/>
      <c r="Y102" s="1243"/>
      <c r="Z102" s="1243"/>
      <c r="AA102" s="1243"/>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row>
    <row r="103" spans="2:151" s="90" customFormat="1" ht="15.75" customHeight="1">
      <c r="C103" s="1239" t="s">
        <v>119</v>
      </c>
      <c r="D103" s="1239"/>
      <c r="E103" s="1239"/>
      <c r="F103" s="1239"/>
      <c r="G103" s="1239"/>
      <c r="H103" s="1239"/>
      <c r="I103" s="1239"/>
      <c r="K103" s="1243" t="s">
        <v>120</v>
      </c>
      <c r="L103" s="1243"/>
      <c r="M103" s="1243"/>
      <c r="N103" s="1243"/>
      <c r="O103" s="1243"/>
      <c r="P103" s="1243"/>
      <c r="Q103" s="1243"/>
      <c r="R103" s="1243"/>
      <c r="S103" s="1243"/>
      <c r="T103" s="1243"/>
      <c r="U103" s="1243"/>
      <c r="V103" s="1243"/>
      <c r="W103" s="1243"/>
      <c r="X103" s="1243"/>
      <c r="Y103" s="1243"/>
      <c r="Z103" s="1243"/>
      <c r="AA103" s="1243"/>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row>
    <row r="104" spans="2:151" s="90" customFormat="1" ht="15.75" customHeight="1">
      <c r="C104" s="1239" t="s">
        <v>131</v>
      </c>
      <c r="D104" s="1239"/>
      <c r="E104" s="1239"/>
      <c r="F104" s="1239"/>
      <c r="G104" s="1239"/>
      <c r="H104" s="1239"/>
      <c r="I104" s="1239"/>
      <c r="K104" s="786" t="s">
        <v>120</v>
      </c>
      <c r="L104" s="786"/>
      <c r="M104" s="786"/>
      <c r="N104" s="786"/>
      <c r="O104" s="786"/>
      <c r="P104" s="786"/>
      <c r="Q104" s="786"/>
      <c r="R104" s="786"/>
      <c r="S104" s="786"/>
      <c r="T104" s="786"/>
      <c r="U104" s="786"/>
      <c r="V104" s="786"/>
      <c r="W104" s="786"/>
      <c r="X104" s="786"/>
      <c r="Y104" s="786"/>
      <c r="Z104" s="786"/>
      <c r="AA104" s="786"/>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c r="DZ104" s="57"/>
      <c r="EA104" s="57"/>
      <c r="EB104" s="57"/>
      <c r="EC104" s="57"/>
      <c r="ED104" s="57"/>
      <c r="EE104" s="57"/>
      <c r="EF104" s="57"/>
      <c r="EG104" s="57"/>
      <c r="EH104" s="57"/>
      <c r="EI104" s="57"/>
      <c r="EJ104" s="57"/>
      <c r="EK104" s="57"/>
      <c r="EL104" s="57"/>
      <c r="EM104" s="57"/>
      <c r="EN104" s="57"/>
      <c r="EO104" s="57"/>
      <c r="EP104" s="57"/>
      <c r="EQ104" s="57"/>
      <c r="ER104" s="57"/>
      <c r="ES104" s="57"/>
      <c r="ET104" s="57"/>
      <c r="EU104" s="57"/>
    </row>
    <row r="105" spans="2:151" s="90" customFormat="1" ht="36" customHeight="1">
      <c r="C105" s="1237" t="s">
        <v>136</v>
      </c>
      <c r="D105" s="1237"/>
      <c r="E105" s="1237"/>
      <c r="F105" s="1237"/>
      <c r="G105" s="1237"/>
      <c r="H105" s="1237"/>
      <c r="I105" s="1237"/>
      <c r="K105" s="786" t="s">
        <v>120</v>
      </c>
      <c r="L105" s="786"/>
      <c r="M105" s="786"/>
      <c r="N105" s="786"/>
      <c r="O105" s="786"/>
      <c r="P105" s="786"/>
      <c r="Q105" s="786"/>
      <c r="R105" s="786"/>
      <c r="S105" s="786"/>
      <c r="T105" s="786"/>
      <c r="U105" s="786"/>
      <c r="V105" s="786"/>
      <c r="W105" s="786"/>
      <c r="X105" s="786"/>
      <c r="Y105" s="786"/>
      <c r="Z105" s="786"/>
      <c r="AA105" s="786"/>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57"/>
      <c r="EE105" s="57"/>
      <c r="EF105" s="57"/>
      <c r="EG105" s="57"/>
      <c r="EH105" s="57"/>
      <c r="EI105" s="57"/>
      <c r="EJ105" s="57"/>
      <c r="EK105" s="57"/>
      <c r="EL105" s="57"/>
      <c r="EM105" s="57"/>
      <c r="EN105" s="57"/>
      <c r="EO105" s="57"/>
      <c r="EP105" s="57"/>
      <c r="EQ105" s="57"/>
      <c r="ER105" s="57"/>
      <c r="ES105" s="57"/>
      <c r="ET105" s="57"/>
      <c r="EU105" s="57"/>
    </row>
    <row r="106" spans="2:151" s="90" customFormat="1" ht="25.5" customHeight="1">
      <c r="C106" s="1237" t="s">
        <v>137</v>
      </c>
      <c r="D106" s="1237"/>
      <c r="E106" s="1237"/>
      <c r="F106" s="1237"/>
      <c r="G106" s="1237"/>
      <c r="H106" s="1237"/>
      <c r="I106" s="1237"/>
      <c r="K106" s="786" t="s">
        <v>2</v>
      </c>
      <c r="L106" s="786"/>
      <c r="M106" s="786"/>
      <c r="N106" s="786"/>
      <c r="O106" s="786"/>
      <c r="P106" s="786"/>
      <c r="Q106" s="786"/>
      <c r="R106" s="786"/>
      <c r="S106" s="786"/>
      <c r="T106" s="786"/>
      <c r="U106" s="786"/>
      <c r="V106" s="786"/>
      <c r="W106" s="786"/>
      <c r="X106" s="786"/>
      <c r="Y106" s="786"/>
      <c r="Z106" s="786"/>
      <c r="AA106" s="786"/>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7"/>
      <c r="ES106" s="57"/>
      <c r="ET106" s="57"/>
      <c r="EU106" s="57"/>
    </row>
    <row r="107" spans="2:151" s="90" customFormat="1" ht="22.5" customHeight="1">
      <c r="C107" s="1237" t="s">
        <v>106</v>
      </c>
      <c r="D107" s="1237"/>
      <c r="E107" s="1237"/>
      <c r="F107" s="1237"/>
      <c r="G107" s="1237"/>
      <c r="H107" s="1237"/>
      <c r="I107" s="1237"/>
      <c r="K107" s="786"/>
      <c r="L107" s="786"/>
      <c r="M107" s="786"/>
      <c r="N107" s="786"/>
      <c r="O107" s="786"/>
      <c r="P107" s="786"/>
      <c r="Q107" s="786"/>
      <c r="R107" s="786"/>
      <c r="S107" s="786"/>
      <c r="T107" s="786"/>
      <c r="U107" s="786"/>
      <c r="V107" s="786"/>
      <c r="W107" s="786"/>
      <c r="X107" s="786"/>
      <c r="Y107" s="786"/>
      <c r="Z107" s="786"/>
      <c r="AA107" s="786"/>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row>
    <row r="108" spans="2:151" s="90" customFormat="1" ht="21" customHeight="1">
      <c r="C108" s="1237" t="s">
        <v>107</v>
      </c>
      <c r="D108" s="1237"/>
      <c r="E108" s="1237"/>
      <c r="F108" s="1237"/>
      <c r="G108" s="1237"/>
      <c r="H108" s="1237"/>
      <c r="I108" s="1237"/>
      <c r="K108" s="786"/>
      <c r="L108" s="786"/>
      <c r="M108" s="786"/>
      <c r="N108" s="786"/>
      <c r="O108" s="786"/>
      <c r="P108" s="786"/>
      <c r="Q108" s="786"/>
      <c r="R108" s="786"/>
      <c r="S108" s="786"/>
      <c r="T108" s="786"/>
      <c r="U108" s="786"/>
      <c r="V108" s="786"/>
      <c r="W108" s="786"/>
      <c r="X108" s="786"/>
      <c r="Y108" s="786"/>
      <c r="Z108" s="786"/>
      <c r="AA108" s="786"/>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row>
    <row r="109" spans="2:151" s="90" customFormat="1" ht="33.75" customHeight="1">
      <c r="C109" s="1240" t="s">
        <v>175</v>
      </c>
      <c r="D109" s="1241"/>
      <c r="E109" s="1241"/>
      <c r="F109" s="1241"/>
      <c r="G109" s="1241"/>
      <c r="H109" s="1241"/>
      <c r="I109" s="1242"/>
      <c r="K109" s="786"/>
      <c r="L109" s="786"/>
      <c r="M109" s="786"/>
      <c r="N109" s="786"/>
      <c r="O109" s="786"/>
      <c r="P109" s="786"/>
      <c r="Q109" s="786"/>
      <c r="R109" s="786"/>
      <c r="S109" s="786"/>
      <c r="T109" s="786"/>
      <c r="U109" s="786"/>
      <c r="V109" s="786"/>
      <c r="W109" s="786"/>
      <c r="X109" s="786"/>
      <c r="Y109" s="786"/>
      <c r="Z109" s="786"/>
      <c r="AA109" s="786"/>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c r="EO109" s="57"/>
      <c r="EP109" s="57"/>
      <c r="EQ109" s="57"/>
      <c r="ER109" s="57"/>
      <c r="ES109" s="57"/>
      <c r="ET109" s="57"/>
      <c r="EU109" s="57"/>
    </row>
    <row r="110" spans="2:151" s="90" customFormat="1" ht="15.75" customHeight="1">
      <c r="C110" s="1239" t="s">
        <v>108</v>
      </c>
      <c r="D110" s="1239"/>
      <c r="E110" s="1239"/>
      <c r="F110" s="1239"/>
      <c r="G110" s="1239"/>
      <c r="H110" s="1239"/>
      <c r="I110" s="1239"/>
      <c r="K110" s="786"/>
      <c r="L110" s="786"/>
      <c r="M110" s="786"/>
      <c r="N110" s="786"/>
      <c r="O110" s="786"/>
      <c r="P110" s="786"/>
      <c r="Q110" s="786"/>
      <c r="R110" s="786"/>
      <c r="S110" s="786"/>
      <c r="T110" s="786"/>
      <c r="U110" s="786"/>
      <c r="V110" s="786"/>
      <c r="W110" s="786"/>
      <c r="X110" s="786"/>
      <c r="Y110" s="786"/>
      <c r="Z110" s="786"/>
      <c r="AA110" s="786"/>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c r="EB110" s="57"/>
      <c r="EC110" s="57"/>
      <c r="ED110" s="57"/>
      <c r="EE110" s="57"/>
      <c r="EF110" s="57"/>
      <c r="EG110" s="57"/>
      <c r="EH110" s="57"/>
      <c r="EI110" s="57"/>
      <c r="EJ110" s="57"/>
      <c r="EK110" s="57"/>
      <c r="EL110" s="57"/>
      <c r="EM110" s="57"/>
      <c r="EN110" s="57"/>
      <c r="EO110" s="57"/>
      <c r="EP110" s="57"/>
      <c r="EQ110" s="57"/>
      <c r="ER110" s="57"/>
      <c r="ES110" s="57"/>
      <c r="ET110" s="57"/>
      <c r="EU110" s="57"/>
    </row>
    <row r="111" spans="2:151" s="90" customFormat="1" ht="15.75" customHeight="1">
      <c r="C111" s="1239" t="s">
        <v>109</v>
      </c>
      <c r="D111" s="1239"/>
      <c r="E111" s="1239"/>
      <c r="F111" s="1239"/>
      <c r="G111" s="1239"/>
      <c r="H111" s="1239"/>
      <c r="I111" s="1239"/>
      <c r="K111" s="786"/>
      <c r="L111" s="786"/>
      <c r="M111" s="786"/>
      <c r="N111" s="786"/>
      <c r="O111" s="786"/>
      <c r="P111" s="786"/>
      <c r="Q111" s="786"/>
      <c r="R111" s="786"/>
      <c r="S111" s="786"/>
      <c r="T111" s="786"/>
      <c r="U111" s="786"/>
      <c r="V111" s="786"/>
      <c r="W111" s="786"/>
      <c r="X111" s="786"/>
      <c r="Y111" s="786"/>
      <c r="Z111" s="786"/>
      <c r="AA111" s="786"/>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c r="EB111" s="57"/>
      <c r="EC111" s="57"/>
      <c r="ED111" s="57"/>
      <c r="EE111" s="57"/>
      <c r="EF111" s="57"/>
      <c r="EG111" s="57"/>
      <c r="EH111" s="57"/>
      <c r="EI111" s="57"/>
      <c r="EJ111" s="57"/>
      <c r="EK111" s="57"/>
      <c r="EL111" s="57"/>
      <c r="EM111" s="57"/>
      <c r="EN111" s="57"/>
      <c r="EO111" s="57"/>
      <c r="EP111" s="57"/>
      <c r="EQ111" s="57"/>
      <c r="ER111" s="57"/>
      <c r="ES111" s="57"/>
      <c r="ET111" s="57"/>
      <c r="EU111" s="57"/>
    </row>
    <row r="112" spans="2:151" s="90" customFormat="1" ht="15.75" customHeight="1">
      <c r="C112" s="1239" t="s">
        <v>111</v>
      </c>
      <c r="D112" s="1239"/>
      <c r="E112" s="1239"/>
      <c r="F112" s="1239"/>
      <c r="G112" s="1239"/>
      <c r="H112" s="1239"/>
      <c r="I112" s="1239"/>
      <c r="K112" s="786"/>
      <c r="L112" s="786"/>
      <c r="M112" s="786"/>
      <c r="N112" s="786"/>
      <c r="O112" s="786"/>
      <c r="P112" s="786"/>
      <c r="Q112" s="786"/>
      <c r="R112" s="786"/>
      <c r="S112" s="786"/>
      <c r="T112" s="786"/>
      <c r="U112" s="786"/>
      <c r="V112" s="786"/>
      <c r="W112" s="786"/>
      <c r="X112" s="786"/>
      <c r="Y112" s="786"/>
      <c r="Z112" s="786"/>
      <c r="AA112" s="786"/>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c r="EO112" s="57"/>
      <c r="EP112" s="57"/>
      <c r="EQ112" s="57"/>
      <c r="ER112" s="57"/>
      <c r="ES112" s="57"/>
      <c r="ET112" s="57"/>
      <c r="EU112" s="57"/>
    </row>
    <row r="113" spans="2:151" s="90" customFormat="1" ht="15.75" customHeight="1">
      <c r="C113" s="1239" t="s">
        <v>94</v>
      </c>
      <c r="D113" s="1239"/>
      <c r="E113" s="1239"/>
      <c r="F113" s="1239"/>
      <c r="G113" s="1239"/>
      <c r="H113" s="1239"/>
      <c r="I113" s="1239"/>
      <c r="K113" s="786"/>
      <c r="L113" s="786"/>
      <c r="M113" s="786"/>
      <c r="N113" s="786"/>
      <c r="O113" s="786"/>
      <c r="P113" s="786"/>
      <c r="Q113" s="786"/>
      <c r="R113" s="786"/>
      <c r="S113" s="786"/>
      <c r="T113" s="786"/>
      <c r="U113" s="786"/>
      <c r="V113" s="786"/>
      <c r="W113" s="786"/>
      <c r="X113" s="786"/>
      <c r="Y113" s="786"/>
      <c r="Z113" s="786"/>
      <c r="AA113" s="786"/>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row>
    <row r="114" spans="2:151" s="90" customFormat="1" ht="15.75" customHeight="1">
      <c r="C114" s="1239" t="s">
        <v>95</v>
      </c>
      <c r="D114" s="1239"/>
      <c r="E114" s="1239"/>
      <c r="F114" s="1239"/>
      <c r="G114" s="1239"/>
      <c r="H114" s="1239"/>
      <c r="I114" s="1239"/>
      <c r="K114" s="786" t="s">
        <v>102</v>
      </c>
      <c r="L114" s="786"/>
      <c r="M114" s="786"/>
      <c r="N114" s="786"/>
      <c r="O114" s="786"/>
      <c r="P114" s="786"/>
      <c r="Q114" s="786"/>
      <c r="R114" s="786"/>
      <c r="S114" s="786"/>
      <c r="T114" s="786"/>
      <c r="U114" s="786"/>
      <c r="V114" s="786"/>
      <c r="W114" s="786"/>
      <c r="X114" s="786"/>
      <c r="Y114" s="786"/>
      <c r="Z114" s="786"/>
      <c r="AA114" s="786"/>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c r="EB114" s="57"/>
      <c r="EC114" s="57"/>
      <c r="ED114" s="57"/>
      <c r="EE114" s="57"/>
      <c r="EF114" s="57"/>
      <c r="EG114" s="57"/>
      <c r="EH114" s="57"/>
      <c r="EI114" s="57"/>
      <c r="EJ114" s="57"/>
      <c r="EK114" s="57"/>
      <c r="EL114" s="57"/>
      <c r="EM114" s="57"/>
      <c r="EN114" s="57"/>
      <c r="EO114" s="57"/>
      <c r="EP114" s="57"/>
      <c r="EQ114" s="57"/>
      <c r="ER114" s="57"/>
      <c r="ES114" s="57"/>
      <c r="ET114" s="57"/>
      <c r="EU114" s="57"/>
    </row>
    <row r="115" spans="2:151" s="90" customFormat="1" ht="15.75" customHeight="1">
      <c r="C115" s="1239" t="s">
        <v>96</v>
      </c>
      <c r="D115" s="1239"/>
      <c r="E115" s="1239"/>
      <c r="F115" s="1239"/>
      <c r="G115" s="1239"/>
      <c r="H115" s="1239"/>
      <c r="I115" s="1239"/>
      <c r="K115" s="786" t="s">
        <v>102</v>
      </c>
      <c r="L115" s="786"/>
      <c r="M115" s="786"/>
      <c r="N115" s="786"/>
      <c r="O115" s="786"/>
      <c r="P115" s="786"/>
      <c r="Q115" s="786"/>
      <c r="R115" s="786"/>
      <c r="S115" s="786"/>
      <c r="T115" s="786"/>
      <c r="U115" s="786"/>
      <c r="V115" s="786"/>
      <c r="W115" s="786"/>
      <c r="X115" s="786"/>
      <c r="Y115" s="786"/>
      <c r="Z115" s="786"/>
      <c r="AA115" s="786"/>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row>
    <row r="116" spans="2:151" s="90" customFormat="1" ht="35.25" customHeight="1">
      <c r="C116" s="1240" t="s">
        <v>110</v>
      </c>
      <c r="D116" s="1241"/>
      <c r="E116" s="1241"/>
      <c r="F116" s="1241"/>
      <c r="G116" s="1241"/>
      <c r="H116" s="1241"/>
      <c r="I116" s="1242"/>
      <c r="K116" s="786"/>
      <c r="L116" s="786"/>
      <c r="M116" s="786"/>
      <c r="N116" s="786"/>
      <c r="O116" s="786"/>
      <c r="P116" s="786"/>
      <c r="Q116" s="786"/>
      <c r="R116" s="786"/>
      <c r="S116" s="786"/>
      <c r="T116" s="786"/>
      <c r="U116" s="786"/>
      <c r="V116" s="786"/>
      <c r="W116" s="786"/>
      <c r="X116" s="786"/>
      <c r="Y116" s="786"/>
      <c r="Z116" s="786"/>
      <c r="AA116" s="786"/>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57"/>
      <c r="EE116" s="57"/>
      <c r="EF116" s="57"/>
      <c r="EG116" s="57"/>
      <c r="EH116" s="57"/>
      <c r="EI116" s="57"/>
      <c r="EJ116" s="57"/>
      <c r="EK116" s="57"/>
      <c r="EL116" s="57"/>
      <c r="EM116" s="57"/>
      <c r="EN116" s="57"/>
      <c r="EO116" s="57"/>
      <c r="EP116" s="57"/>
      <c r="EQ116" s="57"/>
      <c r="ER116" s="57"/>
      <c r="ES116" s="57"/>
      <c r="ET116" s="57"/>
      <c r="EU116" s="57"/>
    </row>
    <row r="117" spans="2:151" s="90" customFormat="1" ht="12.75" customHeight="1">
      <c r="C117" s="99"/>
      <c r="D117" s="100"/>
      <c r="E117" s="100"/>
      <c r="F117" s="100"/>
      <c r="G117" s="100"/>
      <c r="H117" s="100"/>
      <c r="I117" s="100"/>
      <c r="K117" s="101"/>
      <c r="L117" s="101"/>
      <c r="M117" s="101"/>
      <c r="N117" s="101"/>
      <c r="O117" s="101"/>
      <c r="P117" s="101"/>
      <c r="Q117" s="101"/>
      <c r="R117" s="101"/>
      <c r="S117" s="101"/>
      <c r="T117" s="101"/>
      <c r="U117" s="101"/>
      <c r="V117" s="101"/>
      <c r="W117" s="101"/>
      <c r="X117" s="101"/>
      <c r="Y117" s="101"/>
      <c r="Z117" s="101"/>
      <c r="AA117" s="101"/>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c r="EO117" s="57"/>
      <c r="EP117" s="57"/>
      <c r="EQ117" s="57"/>
      <c r="ER117" s="57"/>
      <c r="ES117" s="57"/>
      <c r="ET117" s="57"/>
      <c r="EU117" s="57"/>
    </row>
    <row r="118" spans="2:151" s="90" customFormat="1" ht="15.75">
      <c r="B118" s="97" t="s">
        <v>112</v>
      </c>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row>
    <row r="119" spans="2:151" s="90" customFormat="1" ht="6" customHeight="1">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c r="EO119" s="57"/>
      <c r="EP119" s="57"/>
      <c r="EQ119" s="57"/>
      <c r="ER119" s="57"/>
      <c r="ES119" s="57"/>
      <c r="ET119" s="57"/>
      <c r="EU119" s="57"/>
    </row>
    <row r="120" spans="2:151" s="90" customFormat="1" ht="49.5" customHeight="1">
      <c r="C120" s="1240" t="s">
        <v>127</v>
      </c>
      <c r="D120" s="1241"/>
      <c r="E120" s="1241"/>
      <c r="F120" s="1241"/>
      <c r="G120" s="1241"/>
      <c r="H120" s="1241"/>
      <c r="I120" s="1242"/>
      <c r="K120" s="786"/>
      <c r="L120" s="786"/>
      <c r="M120" s="786"/>
      <c r="N120" s="786"/>
      <c r="O120" s="786"/>
      <c r="P120" s="786"/>
      <c r="Q120" s="786"/>
      <c r="R120" s="786"/>
      <c r="S120" s="786"/>
      <c r="T120" s="786"/>
      <c r="U120" s="786"/>
      <c r="V120" s="786"/>
      <c r="W120" s="786"/>
      <c r="X120" s="786"/>
      <c r="Y120" s="786"/>
      <c r="Z120" s="786"/>
      <c r="AA120" s="786"/>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57"/>
      <c r="EE120" s="57"/>
      <c r="EF120" s="57"/>
      <c r="EG120" s="57"/>
      <c r="EH120" s="57"/>
      <c r="EI120" s="57"/>
      <c r="EJ120" s="57"/>
      <c r="EK120" s="57"/>
      <c r="EL120" s="57"/>
      <c r="EM120" s="57"/>
      <c r="EN120" s="57"/>
      <c r="EO120" s="57"/>
      <c r="EP120" s="57"/>
      <c r="EQ120" s="57"/>
      <c r="ER120" s="57"/>
      <c r="ES120" s="57"/>
      <c r="ET120" s="57"/>
      <c r="EU120" s="57"/>
    </row>
    <row r="121" spans="2:151" s="90" customFormat="1" ht="15.75" customHeight="1">
      <c r="C121" s="1239" t="s">
        <v>113</v>
      </c>
      <c r="D121" s="1239"/>
      <c r="E121" s="1239"/>
      <c r="F121" s="1239"/>
      <c r="G121" s="1239"/>
      <c r="H121" s="1239"/>
      <c r="I121" s="1239"/>
      <c r="K121" s="786" t="s">
        <v>2</v>
      </c>
      <c r="L121" s="786"/>
      <c r="M121" s="786"/>
      <c r="N121" s="786"/>
      <c r="O121" s="786"/>
      <c r="P121" s="786"/>
      <c r="Q121" s="786"/>
      <c r="R121" s="786"/>
      <c r="S121" s="786"/>
      <c r="T121" s="786"/>
      <c r="U121" s="786"/>
      <c r="V121" s="786"/>
      <c r="W121" s="786"/>
      <c r="X121" s="786"/>
      <c r="Y121" s="786"/>
      <c r="Z121" s="786"/>
      <c r="AA121" s="786"/>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row>
    <row r="122" spans="2:151" s="90" customFormat="1" ht="15.75" customHeight="1">
      <c r="C122" s="1239" t="s">
        <v>114</v>
      </c>
      <c r="D122" s="1239"/>
      <c r="E122" s="1239"/>
      <c r="F122" s="1239"/>
      <c r="G122" s="1239"/>
      <c r="H122" s="1239"/>
      <c r="I122" s="1239"/>
      <c r="K122" s="786" t="s">
        <v>2</v>
      </c>
      <c r="L122" s="786"/>
      <c r="M122" s="786"/>
      <c r="N122" s="786"/>
      <c r="O122" s="786"/>
      <c r="P122" s="786"/>
      <c r="Q122" s="786"/>
      <c r="R122" s="786"/>
      <c r="S122" s="786"/>
      <c r="T122" s="786"/>
      <c r="U122" s="786"/>
      <c r="V122" s="786"/>
      <c r="W122" s="786"/>
      <c r="X122" s="786"/>
      <c r="Y122" s="786"/>
      <c r="Z122" s="786"/>
      <c r="AA122" s="786"/>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c r="EO122" s="57"/>
      <c r="EP122" s="57"/>
      <c r="EQ122" s="57"/>
      <c r="ER122" s="57"/>
      <c r="ES122" s="57"/>
      <c r="ET122" s="57"/>
      <c r="EU122" s="57"/>
    </row>
    <row r="123" spans="2:151" s="90" customFormat="1" ht="38.25" customHeight="1">
      <c r="C123" s="1240" t="s">
        <v>126</v>
      </c>
      <c r="D123" s="1241"/>
      <c r="E123" s="1241"/>
      <c r="F123" s="1241"/>
      <c r="G123" s="1241"/>
      <c r="H123" s="1241"/>
      <c r="I123" s="1242"/>
      <c r="K123" s="786"/>
      <c r="L123" s="786"/>
      <c r="M123" s="786"/>
      <c r="N123" s="786"/>
      <c r="O123" s="786"/>
      <c r="P123" s="786"/>
      <c r="Q123" s="786"/>
      <c r="R123" s="786"/>
      <c r="S123" s="786"/>
      <c r="T123" s="786"/>
      <c r="U123" s="786"/>
      <c r="V123" s="786"/>
      <c r="W123" s="786"/>
      <c r="X123" s="786"/>
      <c r="Y123" s="786"/>
      <c r="Z123" s="786"/>
      <c r="AA123" s="786"/>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c r="EC123" s="57"/>
      <c r="ED123" s="57"/>
      <c r="EE123" s="57"/>
      <c r="EF123" s="57"/>
      <c r="EG123" s="57"/>
      <c r="EH123" s="57"/>
      <c r="EI123" s="57"/>
      <c r="EJ123" s="57"/>
      <c r="EK123" s="57"/>
      <c r="EL123" s="57"/>
      <c r="EM123" s="57"/>
      <c r="EN123" s="57"/>
      <c r="EO123" s="57"/>
      <c r="EP123" s="57"/>
      <c r="EQ123" s="57"/>
      <c r="ER123" s="57"/>
      <c r="ES123" s="57"/>
      <c r="ET123" s="57"/>
      <c r="EU123" s="57"/>
    </row>
    <row r="124" spans="2:151" s="90" customFormat="1" ht="23.25" customHeight="1">
      <c r="C124" s="1240" t="s">
        <v>158</v>
      </c>
      <c r="D124" s="1241"/>
      <c r="E124" s="1241"/>
      <c r="F124" s="1241"/>
      <c r="G124" s="1241"/>
      <c r="H124" s="1241"/>
      <c r="I124" s="1242"/>
      <c r="K124" s="786"/>
      <c r="L124" s="786"/>
      <c r="M124" s="786"/>
      <c r="N124" s="786"/>
      <c r="O124" s="786"/>
      <c r="P124" s="786"/>
      <c r="Q124" s="786"/>
      <c r="R124" s="786"/>
      <c r="S124" s="786"/>
      <c r="T124" s="786"/>
      <c r="U124" s="786"/>
      <c r="V124" s="786"/>
      <c r="W124" s="786"/>
      <c r="X124" s="786"/>
      <c r="Y124" s="786"/>
      <c r="Z124" s="786"/>
      <c r="AA124" s="786"/>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57"/>
      <c r="EE124" s="57"/>
      <c r="EF124" s="57"/>
      <c r="EG124" s="57"/>
      <c r="EH124" s="57"/>
      <c r="EI124" s="57"/>
      <c r="EJ124" s="57"/>
      <c r="EK124" s="57"/>
      <c r="EL124" s="57"/>
      <c r="EM124" s="57"/>
      <c r="EN124" s="57"/>
      <c r="EO124" s="57"/>
      <c r="EP124" s="57"/>
      <c r="EQ124" s="57"/>
      <c r="ER124" s="57"/>
      <c r="ES124" s="57"/>
      <c r="ET124" s="57"/>
      <c r="EU124" s="57"/>
    </row>
    <row r="125" spans="2:151" s="90" customFormat="1" ht="24" customHeight="1">
      <c r="C125" s="1237" t="s">
        <v>124</v>
      </c>
      <c r="D125" s="1237"/>
      <c r="E125" s="1237"/>
      <c r="F125" s="1237"/>
      <c r="G125" s="1237"/>
      <c r="H125" s="1237"/>
      <c r="I125" s="1237"/>
      <c r="K125" s="786"/>
      <c r="L125" s="786"/>
      <c r="M125" s="786"/>
      <c r="N125" s="786"/>
      <c r="O125" s="786"/>
      <c r="P125" s="786"/>
      <c r="Q125" s="786"/>
      <c r="R125" s="786"/>
      <c r="S125" s="786"/>
      <c r="T125" s="786"/>
      <c r="U125" s="786"/>
      <c r="V125" s="786"/>
      <c r="W125" s="786"/>
      <c r="X125" s="786"/>
      <c r="Y125" s="786"/>
      <c r="Z125" s="786"/>
      <c r="AA125" s="786"/>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57"/>
      <c r="EE125" s="57"/>
      <c r="EF125" s="57"/>
      <c r="EG125" s="57"/>
      <c r="EH125" s="57"/>
      <c r="EI125" s="57"/>
      <c r="EJ125" s="57"/>
      <c r="EK125" s="57"/>
      <c r="EL125" s="57"/>
      <c r="EM125" s="57"/>
      <c r="EN125" s="57"/>
      <c r="EO125" s="57"/>
      <c r="EP125" s="57"/>
      <c r="EQ125" s="57"/>
      <c r="ER125" s="57"/>
      <c r="ES125" s="57"/>
      <c r="ET125" s="57"/>
      <c r="EU125" s="57"/>
    </row>
    <row r="126" spans="2:151" s="90" customFormat="1" ht="25.5" customHeight="1">
      <c r="C126" s="1237" t="s">
        <v>125</v>
      </c>
      <c r="D126" s="1237"/>
      <c r="E126" s="1237"/>
      <c r="F126" s="1237"/>
      <c r="G126" s="1237"/>
      <c r="H126" s="1237"/>
      <c r="I126" s="1237"/>
      <c r="K126" s="786"/>
      <c r="L126" s="786"/>
      <c r="M126" s="786"/>
      <c r="N126" s="786"/>
      <c r="O126" s="786"/>
      <c r="P126" s="786"/>
      <c r="Q126" s="786"/>
      <c r="R126" s="786"/>
      <c r="S126" s="786"/>
      <c r="T126" s="786"/>
      <c r="U126" s="786"/>
      <c r="V126" s="786"/>
      <c r="W126" s="786"/>
      <c r="X126" s="786"/>
      <c r="Y126" s="786"/>
      <c r="Z126" s="786"/>
      <c r="AA126" s="786"/>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c r="DZ126" s="57"/>
      <c r="EA126" s="57"/>
      <c r="EB126" s="57"/>
      <c r="EC126" s="57"/>
      <c r="ED126" s="57"/>
      <c r="EE126" s="57"/>
      <c r="EF126" s="57"/>
      <c r="EG126" s="57"/>
      <c r="EH126" s="57"/>
      <c r="EI126" s="57"/>
      <c r="EJ126" s="57"/>
      <c r="EK126" s="57"/>
      <c r="EL126" s="57"/>
      <c r="EM126" s="57"/>
      <c r="EN126" s="57"/>
      <c r="EO126" s="57"/>
      <c r="EP126" s="57"/>
      <c r="EQ126" s="57"/>
      <c r="ER126" s="57"/>
      <c r="ES126" s="57"/>
      <c r="ET126" s="57"/>
      <c r="EU126" s="57"/>
    </row>
    <row r="127" spans="2:151" s="90" customFormat="1" ht="15.75" customHeight="1">
      <c r="C127" s="1239" t="s">
        <v>128</v>
      </c>
      <c r="D127" s="1239"/>
      <c r="E127" s="1239"/>
      <c r="F127" s="1239"/>
      <c r="G127" s="1239"/>
      <c r="H127" s="1239"/>
      <c r="I127" s="1239"/>
      <c r="K127" s="786"/>
      <c r="L127" s="786"/>
      <c r="M127" s="786"/>
      <c r="N127" s="786"/>
      <c r="O127" s="786"/>
      <c r="P127" s="786"/>
      <c r="Q127" s="786"/>
      <c r="R127" s="786"/>
      <c r="S127" s="786"/>
      <c r="T127" s="786"/>
      <c r="U127" s="786"/>
      <c r="V127" s="786"/>
      <c r="W127" s="786"/>
      <c r="X127" s="786"/>
      <c r="Y127" s="786"/>
      <c r="Z127" s="786"/>
      <c r="AA127" s="786"/>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row>
    <row r="128" spans="2:151" s="90" customFormat="1" ht="15.75" customHeight="1">
      <c r="C128" s="1239" t="s">
        <v>130</v>
      </c>
      <c r="D128" s="1239"/>
      <c r="E128" s="1239"/>
      <c r="F128" s="1239"/>
      <c r="G128" s="1239"/>
      <c r="H128" s="1239"/>
      <c r="I128" s="1239"/>
      <c r="K128" s="786"/>
      <c r="L128" s="786"/>
      <c r="M128" s="786"/>
      <c r="N128" s="786"/>
      <c r="O128" s="786"/>
      <c r="P128" s="786"/>
      <c r="Q128" s="786"/>
      <c r="R128" s="786"/>
      <c r="S128" s="786"/>
      <c r="T128" s="786"/>
      <c r="U128" s="786"/>
      <c r="V128" s="786"/>
      <c r="W128" s="786"/>
      <c r="X128" s="786"/>
      <c r="Y128" s="786"/>
      <c r="Z128" s="786"/>
      <c r="AA128" s="786"/>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57"/>
      <c r="EE128" s="57"/>
      <c r="EF128" s="57"/>
      <c r="EG128" s="57"/>
      <c r="EH128" s="57"/>
      <c r="EI128" s="57"/>
      <c r="EJ128" s="57"/>
      <c r="EK128" s="57"/>
      <c r="EL128" s="57"/>
      <c r="EM128" s="57"/>
      <c r="EN128" s="57"/>
      <c r="EO128" s="57"/>
      <c r="EP128" s="57"/>
      <c r="EQ128" s="57"/>
      <c r="ER128" s="57"/>
      <c r="ES128" s="57"/>
      <c r="ET128" s="57"/>
      <c r="EU128" s="57"/>
    </row>
    <row r="129" spans="2:151" s="90" customFormat="1" ht="15.75" customHeight="1">
      <c r="C129" s="1239" t="s">
        <v>132</v>
      </c>
      <c r="D129" s="1239"/>
      <c r="E129" s="1239"/>
      <c r="F129" s="1239"/>
      <c r="G129" s="1239"/>
      <c r="H129" s="1239"/>
      <c r="I129" s="1239"/>
      <c r="K129" s="786"/>
      <c r="L129" s="786"/>
      <c r="M129" s="786"/>
      <c r="N129" s="786"/>
      <c r="O129" s="786"/>
      <c r="P129" s="786"/>
      <c r="Q129" s="786"/>
      <c r="R129" s="786"/>
      <c r="S129" s="786"/>
      <c r="T129" s="786"/>
      <c r="U129" s="786"/>
      <c r="V129" s="786"/>
      <c r="W129" s="786"/>
      <c r="X129" s="786"/>
      <c r="Y129" s="786"/>
      <c r="Z129" s="786"/>
      <c r="AA129" s="786"/>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57"/>
      <c r="EE129" s="57"/>
      <c r="EF129" s="57"/>
      <c r="EG129" s="57"/>
      <c r="EH129" s="57"/>
      <c r="EI129" s="57"/>
      <c r="EJ129" s="57"/>
      <c r="EK129" s="57"/>
      <c r="EL129" s="57"/>
      <c r="EM129" s="57"/>
      <c r="EN129" s="57"/>
      <c r="EO129" s="57"/>
      <c r="EP129" s="57"/>
      <c r="EQ129" s="57"/>
      <c r="ER129" s="57"/>
      <c r="ES129" s="57"/>
      <c r="ET129" s="57"/>
      <c r="EU129" s="57"/>
    </row>
    <row r="130" spans="2:151" s="90" customFormat="1" ht="15.75" customHeight="1">
      <c r="C130" s="1239" t="s">
        <v>133</v>
      </c>
      <c r="D130" s="1239"/>
      <c r="E130" s="1239"/>
      <c r="F130" s="1239"/>
      <c r="G130" s="1239"/>
      <c r="H130" s="1239"/>
      <c r="I130" s="1239"/>
      <c r="K130" s="786"/>
      <c r="L130" s="786"/>
      <c r="M130" s="786"/>
      <c r="N130" s="786"/>
      <c r="O130" s="786"/>
      <c r="P130" s="786"/>
      <c r="Q130" s="786"/>
      <c r="R130" s="786"/>
      <c r="S130" s="786"/>
      <c r="T130" s="786"/>
      <c r="U130" s="786"/>
      <c r="V130" s="786"/>
      <c r="W130" s="786"/>
      <c r="X130" s="786"/>
      <c r="Y130" s="786"/>
      <c r="Z130" s="786"/>
      <c r="AA130" s="786"/>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c r="EB130" s="57"/>
      <c r="EC130" s="57"/>
      <c r="ED130" s="57"/>
      <c r="EE130" s="57"/>
      <c r="EF130" s="57"/>
      <c r="EG130" s="57"/>
      <c r="EH130" s="57"/>
      <c r="EI130" s="57"/>
      <c r="EJ130" s="57"/>
      <c r="EK130" s="57"/>
      <c r="EL130" s="57"/>
      <c r="EM130" s="57"/>
      <c r="EN130" s="57"/>
      <c r="EO130" s="57"/>
      <c r="EP130" s="57"/>
      <c r="EQ130" s="57"/>
      <c r="ER130" s="57"/>
      <c r="ES130" s="57"/>
      <c r="ET130" s="57"/>
      <c r="EU130" s="57"/>
    </row>
    <row r="131" spans="2:151" s="90" customFormat="1" ht="15.75" customHeight="1">
      <c r="C131" s="1239" t="s">
        <v>134</v>
      </c>
      <c r="D131" s="1239"/>
      <c r="E131" s="1239"/>
      <c r="F131" s="1239"/>
      <c r="G131" s="1239"/>
      <c r="H131" s="1239"/>
      <c r="I131" s="1239"/>
      <c r="K131" s="786"/>
      <c r="L131" s="786"/>
      <c r="M131" s="786"/>
      <c r="N131" s="786"/>
      <c r="O131" s="786"/>
      <c r="P131" s="786"/>
      <c r="Q131" s="786"/>
      <c r="R131" s="786"/>
      <c r="S131" s="786"/>
      <c r="T131" s="786"/>
      <c r="U131" s="786"/>
      <c r="V131" s="786"/>
      <c r="W131" s="786"/>
      <c r="X131" s="786"/>
      <c r="Y131" s="786"/>
      <c r="Z131" s="786"/>
      <c r="AA131" s="786"/>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c r="DZ131" s="57"/>
      <c r="EA131" s="57"/>
      <c r="EB131" s="57"/>
      <c r="EC131" s="57"/>
      <c r="ED131" s="57"/>
      <c r="EE131" s="57"/>
      <c r="EF131" s="57"/>
      <c r="EG131" s="57"/>
      <c r="EH131" s="57"/>
      <c r="EI131" s="57"/>
      <c r="EJ131" s="57"/>
      <c r="EK131" s="57"/>
      <c r="EL131" s="57"/>
      <c r="EM131" s="57"/>
      <c r="EN131" s="57"/>
      <c r="EO131" s="57"/>
      <c r="EP131" s="57"/>
      <c r="EQ131" s="57"/>
      <c r="ER131" s="57"/>
      <c r="ES131" s="57"/>
      <c r="ET131" s="57"/>
      <c r="EU131" s="57"/>
    </row>
    <row r="132" spans="2:151" s="90" customFormat="1" ht="22.5" customHeight="1">
      <c r="C132" s="1240" t="s">
        <v>135</v>
      </c>
      <c r="D132" s="1241"/>
      <c r="E132" s="1241"/>
      <c r="F132" s="1241"/>
      <c r="G132" s="1241"/>
      <c r="H132" s="1241"/>
      <c r="I132" s="1242"/>
      <c r="K132" s="786"/>
      <c r="L132" s="786"/>
      <c r="M132" s="786"/>
      <c r="N132" s="786"/>
      <c r="O132" s="786"/>
      <c r="P132" s="786"/>
      <c r="Q132" s="786"/>
      <c r="R132" s="786"/>
      <c r="S132" s="786"/>
      <c r="T132" s="786"/>
      <c r="U132" s="786"/>
      <c r="V132" s="786"/>
      <c r="W132" s="786"/>
      <c r="X132" s="786"/>
      <c r="Y132" s="786"/>
      <c r="Z132" s="786"/>
      <c r="AA132" s="786"/>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57"/>
      <c r="EE132" s="57"/>
      <c r="EF132" s="57"/>
      <c r="EG132" s="57"/>
      <c r="EH132" s="57"/>
      <c r="EI132" s="57"/>
      <c r="EJ132" s="57"/>
      <c r="EK132" s="57"/>
      <c r="EL132" s="57"/>
      <c r="EM132" s="57"/>
      <c r="EN132" s="57"/>
      <c r="EO132" s="57"/>
      <c r="EP132" s="57"/>
      <c r="EQ132" s="57"/>
      <c r="ER132" s="57"/>
      <c r="ES132" s="57"/>
      <c r="ET132" s="57"/>
      <c r="EU132" s="57"/>
    </row>
    <row r="133" spans="2:151" s="90" customFormat="1" ht="6" customHeight="1">
      <c r="C133" s="99"/>
      <c r="D133" s="100"/>
      <c r="E133" s="100"/>
      <c r="F133" s="100"/>
      <c r="G133" s="100"/>
      <c r="H133" s="100"/>
      <c r="I133" s="100"/>
      <c r="K133" s="101"/>
      <c r="L133" s="101"/>
      <c r="M133" s="101"/>
      <c r="N133" s="101"/>
      <c r="O133" s="101"/>
      <c r="P133" s="101"/>
      <c r="Q133" s="101"/>
      <c r="R133" s="101"/>
      <c r="S133" s="101"/>
      <c r="T133" s="101"/>
      <c r="U133" s="101"/>
      <c r="V133" s="101"/>
      <c r="W133" s="101"/>
      <c r="X133" s="101"/>
      <c r="Y133" s="101"/>
      <c r="Z133" s="101"/>
      <c r="AA133" s="101"/>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row>
    <row r="134" spans="2:151" s="90" customFormat="1" ht="2.25" customHeight="1">
      <c r="C134" s="102"/>
      <c r="D134" s="103"/>
      <c r="E134" s="103"/>
      <c r="F134" s="103"/>
      <c r="G134" s="103"/>
      <c r="H134" s="103"/>
      <c r="I134" s="103"/>
      <c r="K134" s="101"/>
      <c r="L134" s="101"/>
      <c r="M134" s="101"/>
      <c r="N134" s="101"/>
      <c r="O134" s="101"/>
      <c r="P134" s="101"/>
      <c r="Q134" s="101"/>
      <c r="R134" s="101"/>
      <c r="S134" s="101"/>
      <c r="T134" s="101"/>
      <c r="U134" s="101"/>
      <c r="V134" s="101"/>
      <c r="W134" s="101"/>
      <c r="X134" s="101"/>
      <c r="Y134" s="101"/>
      <c r="Z134" s="101"/>
      <c r="AA134" s="101"/>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row>
    <row r="135" spans="2:151" s="90" customFormat="1" ht="15.75">
      <c r="B135" s="97" t="s">
        <v>97</v>
      </c>
      <c r="C135" s="102"/>
      <c r="D135" s="103"/>
      <c r="E135" s="103"/>
      <c r="F135" s="103"/>
      <c r="G135" s="103"/>
      <c r="H135" s="103"/>
      <c r="I135" s="103"/>
      <c r="K135" s="101"/>
      <c r="L135" s="101"/>
      <c r="M135" s="101"/>
      <c r="N135" s="101"/>
      <c r="O135" s="101"/>
      <c r="P135" s="101"/>
      <c r="Q135" s="101"/>
      <c r="R135" s="101"/>
      <c r="S135" s="101"/>
      <c r="T135" s="101"/>
      <c r="U135" s="101"/>
      <c r="V135" s="101"/>
      <c r="W135" s="101"/>
      <c r="X135" s="101"/>
      <c r="Y135" s="101"/>
      <c r="Z135" s="101"/>
      <c r="AA135" s="101"/>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c r="EB135" s="57"/>
      <c r="EC135" s="57"/>
      <c r="ED135" s="57"/>
      <c r="EE135" s="57"/>
      <c r="EF135" s="57"/>
      <c r="EG135" s="57"/>
      <c r="EH135" s="57"/>
      <c r="EI135" s="57"/>
      <c r="EJ135" s="57"/>
      <c r="EK135" s="57"/>
      <c r="EL135" s="57"/>
      <c r="EM135" s="57"/>
      <c r="EN135" s="57"/>
      <c r="EO135" s="57"/>
      <c r="EP135" s="57"/>
      <c r="EQ135" s="57"/>
      <c r="ER135" s="57"/>
      <c r="ES135" s="57"/>
      <c r="ET135" s="57"/>
      <c r="EU135" s="57"/>
    </row>
    <row r="136" spans="2:151" s="90" customFormat="1" ht="1.5" customHeight="1">
      <c r="C136" s="102"/>
      <c r="D136" s="103"/>
      <c r="E136" s="103"/>
      <c r="F136" s="103"/>
      <c r="G136" s="103"/>
      <c r="H136" s="103"/>
      <c r="I136" s="103"/>
      <c r="K136" s="101"/>
      <c r="L136" s="101"/>
      <c r="M136" s="101"/>
      <c r="N136" s="101"/>
      <c r="O136" s="101"/>
      <c r="P136" s="101"/>
      <c r="Q136" s="101"/>
      <c r="R136" s="101"/>
      <c r="S136" s="101"/>
      <c r="T136" s="101"/>
      <c r="U136" s="101"/>
      <c r="V136" s="101"/>
      <c r="W136" s="101"/>
      <c r="X136" s="101"/>
      <c r="Y136" s="101"/>
      <c r="Z136" s="101"/>
      <c r="AA136" s="101"/>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c r="EC136" s="57"/>
      <c r="ED136" s="57"/>
      <c r="EE136" s="57"/>
      <c r="EF136" s="57"/>
      <c r="EG136" s="57"/>
      <c r="EH136" s="57"/>
      <c r="EI136" s="57"/>
      <c r="EJ136" s="57"/>
      <c r="EK136" s="57"/>
      <c r="EL136" s="57"/>
      <c r="EM136" s="57"/>
      <c r="EN136" s="57"/>
      <c r="EO136" s="57"/>
      <c r="EP136" s="57"/>
      <c r="EQ136" s="57"/>
      <c r="ER136" s="57"/>
      <c r="ES136" s="57"/>
      <c r="ET136" s="57"/>
      <c r="EU136" s="57"/>
    </row>
    <row r="137" spans="2:151" s="90" customFormat="1">
      <c r="C137" s="102" t="s">
        <v>20</v>
      </c>
      <c r="D137" s="103"/>
      <c r="E137" s="103"/>
      <c r="F137" s="103"/>
      <c r="G137" s="103"/>
      <c r="H137" s="103"/>
      <c r="I137" s="103"/>
      <c r="K137" s="1238" t="s">
        <v>98</v>
      </c>
      <c r="L137" s="1238"/>
      <c r="M137" s="1238"/>
      <c r="N137" s="1238"/>
      <c r="O137" s="1238"/>
      <c r="P137" s="1238"/>
      <c r="Q137" s="1238"/>
      <c r="R137" s="1238" t="s">
        <v>99</v>
      </c>
      <c r="S137" s="1238"/>
      <c r="T137" s="1238"/>
      <c r="U137" s="1238"/>
      <c r="V137" s="1238"/>
      <c r="W137" s="1238"/>
      <c r="X137" s="1238"/>
      <c r="Y137" s="101"/>
      <c r="Z137" s="101" t="s">
        <v>100</v>
      </c>
      <c r="AA137" s="101"/>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c r="EC137" s="57"/>
      <c r="ED137" s="57"/>
      <c r="EE137" s="57"/>
      <c r="EF137" s="57"/>
      <c r="EG137" s="57"/>
      <c r="EH137" s="57"/>
      <c r="EI137" s="57"/>
      <c r="EJ137" s="57"/>
      <c r="EK137" s="57"/>
      <c r="EL137" s="57"/>
      <c r="EM137" s="57"/>
      <c r="EN137" s="57"/>
      <c r="EO137" s="57"/>
      <c r="EP137" s="57"/>
      <c r="EQ137" s="57"/>
      <c r="ER137" s="57"/>
      <c r="ES137" s="57"/>
      <c r="ET137" s="57"/>
      <c r="EU137" s="57"/>
    </row>
    <row r="138" spans="2:151" s="90" customFormat="1" ht="15.75" customHeight="1">
      <c r="C138" s="1235"/>
      <c r="D138" s="1235"/>
      <c r="E138" s="1235"/>
      <c r="F138" s="1235"/>
      <c r="G138" s="1235"/>
      <c r="H138" s="1235"/>
      <c r="I138" s="1235"/>
      <c r="K138" s="1235" t="s">
        <v>2</v>
      </c>
      <c r="L138" s="1235"/>
      <c r="M138" s="1235"/>
      <c r="N138" s="1235"/>
      <c r="O138" s="1235"/>
      <c r="P138" s="1235"/>
      <c r="Q138" s="1235"/>
      <c r="R138" s="1236"/>
      <c r="S138" s="1236"/>
      <c r="T138" s="1236"/>
      <c r="U138" s="1236"/>
      <c r="V138" s="1236"/>
      <c r="W138" s="1236"/>
      <c r="X138" s="1236"/>
      <c r="Y138" s="1236"/>
      <c r="Z138" s="786"/>
      <c r="AA138" s="786"/>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row>
    <row r="139" spans="2:151" s="90" customFormat="1" ht="15.75" customHeight="1">
      <c r="C139" s="1235"/>
      <c r="D139" s="1235"/>
      <c r="E139" s="1235"/>
      <c r="F139" s="1235"/>
      <c r="G139" s="1235"/>
      <c r="H139" s="1235"/>
      <c r="I139" s="1235"/>
      <c r="K139" s="1235"/>
      <c r="L139" s="1235"/>
      <c r="M139" s="1235"/>
      <c r="N139" s="1235"/>
      <c r="O139" s="1235"/>
      <c r="P139" s="1235"/>
      <c r="Q139" s="1235"/>
      <c r="R139" s="1236"/>
      <c r="S139" s="1236"/>
      <c r="T139" s="1236"/>
      <c r="U139" s="1236"/>
      <c r="V139" s="1236"/>
      <c r="W139" s="1236"/>
      <c r="X139" s="1236"/>
      <c r="Y139" s="1236"/>
      <c r="Z139" s="786"/>
      <c r="AA139" s="786"/>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row>
    <row r="140" spans="2:151" s="90" customFormat="1" ht="15.75" customHeight="1">
      <c r="C140" s="1235"/>
      <c r="D140" s="1235"/>
      <c r="E140" s="1235"/>
      <c r="F140" s="1235"/>
      <c r="G140" s="1235"/>
      <c r="H140" s="1235"/>
      <c r="I140" s="1235"/>
      <c r="K140" s="1235"/>
      <c r="L140" s="1235"/>
      <c r="M140" s="1235"/>
      <c r="N140" s="1235"/>
      <c r="O140" s="1235"/>
      <c r="P140" s="1235"/>
      <c r="Q140" s="1235"/>
      <c r="R140" s="1236"/>
      <c r="S140" s="1236"/>
      <c r="T140" s="1236"/>
      <c r="U140" s="1236"/>
      <c r="V140" s="1236"/>
      <c r="W140" s="1236"/>
      <c r="X140" s="1236"/>
      <c r="Y140" s="1236"/>
      <c r="Z140" s="786"/>
      <c r="AA140" s="786"/>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row>
    <row r="141" spans="2:151" s="90" customFormat="1" ht="15.75" customHeight="1">
      <c r="C141" s="1235"/>
      <c r="D141" s="1235"/>
      <c r="E141" s="1235"/>
      <c r="F141" s="1235"/>
      <c r="G141" s="1235"/>
      <c r="H141" s="1235"/>
      <c r="I141" s="1235"/>
      <c r="K141" s="1235"/>
      <c r="L141" s="1235"/>
      <c r="M141" s="1235"/>
      <c r="N141" s="1235"/>
      <c r="O141" s="1235"/>
      <c r="P141" s="1235"/>
      <c r="Q141" s="1235"/>
      <c r="R141" s="1236"/>
      <c r="S141" s="1236"/>
      <c r="T141" s="1236"/>
      <c r="U141" s="1236"/>
      <c r="V141" s="1236"/>
      <c r="W141" s="1236"/>
      <c r="X141" s="1236"/>
      <c r="Y141" s="1236"/>
      <c r="Z141" s="786"/>
      <c r="AA141" s="786"/>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57"/>
      <c r="EE141" s="57"/>
      <c r="EF141" s="57"/>
      <c r="EG141" s="57"/>
      <c r="EH141" s="57"/>
      <c r="EI141" s="57"/>
      <c r="EJ141" s="57"/>
      <c r="EK141" s="57"/>
      <c r="EL141" s="57"/>
      <c r="EM141" s="57"/>
      <c r="EN141" s="57"/>
      <c r="EO141" s="57"/>
      <c r="EP141" s="57"/>
      <c r="EQ141" s="57"/>
      <c r="ER141" s="57"/>
      <c r="ES141" s="57"/>
      <c r="ET141" s="57"/>
      <c r="EU141" s="57"/>
    </row>
    <row r="142" spans="2:151" s="90" customFormat="1" ht="15.75" customHeight="1">
      <c r="C142" s="1235"/>
      <c r="D142" s="1235"/>
      <c r="E142" s="1235"/>
      <c r="F142" s="1235"/>
      <c r="G142" s="1235"/>
      <c r="H142" s="1235"/>
      <c r="I142" s="1235"/>
      <c r="K142" s="1235"/>
      <c r="L142" s="1235"/>
      <c r="M142" s="1235"/>
      <c r="N142" s="1235"/>
      <c r="O142" s="1235"/>
      <c r="P142" s="1235"/>
      <c r="Q142" s="1235"/>
      <c r="R142" s="1236"/>
      <c r="S142" s="1236"/>
      <c r="T142" s="1236"/>
      <c r="U142" s="1236"/>
      <c r="V142" s="1236"/>
      <c r="W142" s="1236"/>
      <c r="X142" s="1236"/>
      <c r="Y142" s="1236"/>
      <c r="Z142" s="786"/>
      <c r="AA142" s="786"/>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row>
    <row r="143" spans="2:151" s="90" customFormat="1" ht="15.75" customHeight="1">
      <c r="C143" s="1235"/>
      <c r="D143" s="1235"/>
      <c r="E143" s="1235"/>
      <c r="F143" s="1235"/>
      <c r="G143" s="1235"/>
      <c r="H143" s="1235"/>
      <c r="I143" s="1235"/>
      <c r="K143" s="1235"/>
      <c r="L143" s="1235"/>
      <c r="M143" s="1235"/>
      <c r="N143" s="1235"/>
      <c r="O143" s="1235"/>
      <c r="P143" s="1235"/>
      <c r="Q143" s="1235"/>
      <c r="R143" s="1236"/>
      <c r="S143" s="1236"/>
      <c r="T143" s="1236"/>
      <c r="U143" s="1236"/>
      <c r="V143" s="1236"/>
      <c r="W143" s="1236"/>
      <c r="X143" s="1236"/>
      <c r="Y143" s="1236"/>
      <c r="Z143" s="786"/>
      <c r="AA143" s="786"/>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row>
    <row r="144" spans="2:151" s="90" customFormat="1" ht="15.75" customHeight="1">
      <c r="C144" s="1235"/>
      <c r="D144" s="1235"/>
      <c r="E144" s="1235"/>
      <c r="F144" s="1235"/>
      <c r="G144" s="1235"/>
      <c r="H144" s="1235"/>
      <c r="I144" s="1235"/>
      <c r="K144" s="1235"/>
      <c r="L144" s="1235"/>
      <c r="M144" s="1235"/>
      <c r="N144" s="1235"/>
      <c r="O144" s="1235"/>
      <c r="P144" s="1235"/>
      <c r="Q144" s="1235"/>
      <c r="R144" s="1236"/>
      <c r="S144" s="1236"/>
      <c r="T144" s="1236"/>
      <c r="U144" s="1236"/>
      <c r="V144" s="1236"/>
      <c r="W144" s="1236"/>
      <c r="X144" s="1236"/>
      <c r="Y144" s="1236"/>
      <c r="Z144" s="786"/>
      <c r="AA144" s="786"/>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row>
    <row r="145" spans="1:151" s="90" customFormat="1" ht="15.75" customHeight="1">
      <c r="C145" s="924" t="s">
        <v>104</v>
      </c>
      <c r="D145" s="924"/>
      <c r="E145" s="924"/>
      <c r="F145" s="924"/>
      <c r="G145" s="924"/>
      <c r="H145" s="924"/>
      <c r="I145" s="924"/>
      <c r="K145" s="1235"/>
      <c r="L145" s="1235"/>
      <c r="M145" s="1235"/>
      <c r="N145" s="1235"/>
      <c r="O145" s="1235"/>
      <c r="P145" s="1235"/>
      <c r="Q145" s="1235"/>
      <c r="R145" s="1236"/>
      <c r="S145" s="1236"/>
      <c r="T145" s="1236"/>
      <c r="U145" s="1236"/>
      <c r="V145" s="1236"/>
      <c r="W145" s="1236"/>
      <c r="X145" s="1236"/>
      <c r="Y145" s="1236"/>
      <c r="Z145" s="786"/>
      <c r="AA145" s="786"/>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row>
    <row r="146" spans="1:151" s="90" customFormat="1" ht="7.5" customHeight="1">
      <c r="C146" s="104"/>
      <c r="D146" s="104"/>
      <c r="E146" s="104"/>
      <c r="F146" s="104"/>
      <c r="G146" s="104"/>
      <c r="H146" s="104"/>
      <c r="I146" s="104"/>
      <c r="K146" s="104"/>
      <c r="L146" s="104"/>
      <c r="M146" s="104"/>
      <c r="N146" s="104"/>
      <c r="O146" s="104"/>
      <c r="P146" s="104"/>
      <c r="Q146" s="104"/>
      <c r="R146" s="104"/>
      <c r="S146" s="104"/>
      <c r="T146" s="104"/>
      <c r="U146" s="104"/>
      <c r="V146" s="104"/>
      <c r="W146" s="104"/>
      <c r="X146" s="104"/>
      <c r="Y146" s="104"/>
      <c r="Z146" s="101"/>
      <c r="AA146" s="101"/>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row>
    <row r="147" spans="1:151" s="90" customFormat="1" ht="16.5" customHeight="1">
      <c r="C147" s="1237" t="s">
        <v>129</v>
      </c>
      <c r="D147" s="1237"/>
      <c r="E147" s="1237"/>
      <c r="F147" s="1237"/>
      <c r="G147" s="1237"/>
      <c r="H147" s="1237"/>
      <c r="I147" s="1237"/>
      <c r="K147" s="786"/>
      <c r="L147" s="786"/>
      <c r="M147" s="786"/>
      <c r="N147" s="786"/>
      <c r="O147" s="786"/>
      <c r="P147" s="786"/>
      <c r="Q147" s="786"/>
      <c r="R147" s="786"/>
      <c r="S147" s="786"/>
      <c r="T147" s="786"/>
      <c r="U147" s="786"/>
      <c r="V147" s="786"/>
      <c r="W147" s="786"/>
      <c r="X147" s="786"/>
      <c r="Y147" s="786"/>
      <c r="Z147" s="786"/>
      <c r="AA147" s="786"/>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row>
    <row r="148" spans="1:151" s="90" customFormat="1" ht="16.5" customHeight="1">
      <c r="C148" s="1237" t="s">
        <v>122</v>
      </c>
      <c r="D148" s="1237"/>
      <c r="E148" s="1237"/>
      <c r="F148" s="1237"/>
      <c r="G148" s="1237"/>
      <c r="H148" s="1237"/>
      <c r="I148" s="1237"/>
      <c r="K148" s="786"/>
      <c r="L148" s="786"/>
      <c r="M148" s="786"/>
      <c r="N148" s="786"/>
      <c r="O148" s="786"/>
      <c r="P148" s="786"/>
      <c r="Q148" s="786"/>
      <c r="R148" s="786"/>
      <c r="S148" s="786"/>
      <c r="T148" s="786"/>
      <c r="U148" s="786"/>
      <c r="V148" s="786"/>
      <c r="W148" s="786"/>
      <c r="X148" s="786"/>
      <c r="Y148" s="786"/>
      <c r="Z148" s="786"/>
      <c r="AA148" s="786"/>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row>
    <row r="149" spans="1:151" s="90" customFormat="1" ht="24" customHeight="1">
      <c r="C149" s="1237" t="s">
        <v>123</v>
      </c>
      <c r="D149" s="1237"/>
      <c r="E149" s="1237"/>
      <c r="F149" s="1237"/>
      <c r="G149" s="1237"/>
      <c r="H149" s="1237"/>
      <c r="I149" s="1237"/>
      <c r="K149" s="786"/>
      <c r="L149" s="786"/>
      <c r="M149" s="786"/>
      <c r="N149" s="786"/>
      <c r="O149" s="786"/>
      <c r="P149" s="786"/>
      <c r="Q149" s="786"/>
      <c r="R149" s="786"/>
      <c r="S149" s="786"/>
      <c r="T149" s="786"/>
      <c r="U149" s="786"/>
      <c r="V149" s="786"/>
      <c r="W149" s="786"/>
      <c r="X149" s="786"/>
      <c r="Y149" s="786"/>
      <c r="Z149" s="786"/>
      <c r="AA149" s="786"/>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row>
    <row r="150" spans="1:151" s="90" customFormat="1" ht="12" customHeight="1">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row>
    <row r="151" spans="1:151" s="90" customFormat="1" ht="6" hidden="1" customHeight="1">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row>
    <row r="152" spans="1:151" s="95" customFormat="1" ht="8.25" customHeight="1" thickBot="1">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96"/>
      <c r="CS152" s="96"/>
      <c r="CT152" s="96"/>
      <c r="CU152" s="96"/>
      <c r="CV152" s="96"/>
      <c r="CW152" s="96"/>
      <c r="CX152" s="96"/>
      <c r="CY152" s="96"/>
      <c r="CZ152" s="96"/>
      <c r="DA152" s="96"/>
      <c r="DB152" s="96"/>
      <c r="DC152" s="96"/>
      <c r="DD152" s="96"/>
      <c r="DE152" s="96"/>
      <c r="DF152" s="96"/>
      <c r="DG152" s="96"/>
      <c r="DH152" s="96"/>
      <c r="DI152" s="96"/>
      <c r="DJ152" s="96"/>
      <c r="DK152" s="96"/>
      <c r="DL152" s="96"/>
      <c r="DM152" s="96"/>
      <c r="DN152" s="96"/>
      <c r="DO152" s="96"/>
      <c r="DP152" s="96"/>
      <c r="DQ152" s="96"/>
      <c r="DR152" s="96"/>
      <c r="DS152" s="96"/>
      <c r="DT152" s="96"/>
      <c r="DU152" s="96"/>
      <c r="DV152" s="96"/>
      <c r="DW152" s="96"/>
      <c r="DX152" s="96"/>
      <c r="DY152" s="96"/>
      <c r="DZ152" s="96"/>
      <c r="EA152" s="96"/>
      <c r="EB152" s="96"/>
      <c r="EC152" s="96"/>
      <c r="ED152" s="96"/>
      <c r="EE152" s="96"/>
      <c r="EF152" s="96"/>
      <c r="EG152" s="96"/>
      <c r="EH152" s="96"/>
      <c r="EI152" s="96"/>
      <c r="EJ152" s="96"/>
      <c r="EK152" s="96"/>
      <c r="EL152" s="96"/>
      <c r="EM152" s="96"/>
      <c r="EN152" s="96"/>
      <c r="EO152" s="96"/>
      <c r="EP152" s="96"/>
      <c r="EQ152" s="96"/>
      <c r="ER152" s="96"/>
      <c r="ES152" s="96"/>
      <c r="ET152" s="96"/>
      <c r="EU152" s="96"/>
    </row>
    <row r="153" spans="1:151" s="90" customFormat="1" ht="26.25">
      <c r="A153" s="105" t="s">
        <v>200</v>
      </c>
      <c r="B153" s="56"/>
      <c r="C153" s="56"/>
      <c r="D153" s="56"/>
      <c r="E153" s="56"/>
      <c r="F153" s="56"/>
      <c r="G153" s="56"/>
      <c r="H153" s="56"/>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row>
    <row r="154" spans="1:151" s="90" customFormat="1" ht="6" customHeight="1">
      <c r="A154" s="56"/>
      <c r="B154" s="56"/>
      <c r="C154" s="56"/>
      <c r="D154" s="56"/>
      <c r="E154" s="56"/>
      <c r="F154" s="56"/>
      <c r="G154" s="56"/>
      <c r="H154" s="56"/>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row>
    <row r="155" spans="1:151" s="90" customFormat="1" ht="1.5" customHeight="1">
      <c r="A155" s="56"/>
      <c r="B155" s="56"/>
      <c r="C155" s="56"/>
      <c r="D155" s="56"/>
      <c r="E155" s="56"/>
      <c r="F155" s="56"/>
      <c r="G155" s="56"/>
      <c r="H155" s="56"/>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row>
    <row r="156" spans="1:151" s="90" customFormat="1" ht="18">
      <c r="A156" s="56"/>
      <c r="B156" s="69" t="s">
        <v>165</v>
      </c>
      <c r="C156" s="56"/>
      <c r="D156" s="56"/>
      <c r="E156" s="56"/>
      <c r="F156" s="56"/>
      <c r="G156" s="56"/>
      <c r="H156" s="56"/>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row>
    <row r="157" spans="1:151" s="90" customFormat="1" ht="5.25" customHeight="1">
      <c r="A157" s="56"/>
      <c r="B157" s="72"/>
      <c r="C157" s="56"/>
      <c r="D157" s="56"/>
      <c r="E157" s="56"/>
      <c r="F157" s="56"/>
      <c r="G157" s="56"/>
      <c r="H157" s="56"/>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c r="EC157" s="57"/>
      <c r="ED157" s="57"/>
      <c r="EE157" s="57"/>
      <c r="EF157" s="57"/>
      <c r="EG157" s="57"/>
      <c r="EH157" s="57"/>
      <c r="EI157" s="57"/>
      <c r="EJ157" s="57"/>
      <c r="EK157" s="57"/>
      <c r="EL157" s="57"/>
      <c r="EM157" s="57"/>
      <c r="EN157" s="57"/>
      <c r="EO157" s="57"/>
      <c r="EP157" s="57"/>
      <c r="EQ157" s="57"/>
      <c r="ER157" s="57"/>
      <c r="ES157" s="57"/>
      <c r="ET157" s="57"/>
      <c r="EU157" s="57"/>
    </row>
    <row r="158" spans="1:151" s="90" customFormat="1">
      <c r="A158" s="1227" t="s">
        <v>139</v>
      </c>
      <c r="B158" s="1228"/>
      <c r="C158" s="1228"/>
      <c r="D158" s="1228"/>
      <c r="E158" s="1228"/>
      <c r="F158" s="1228"/>
      <c r="G158" s="1228"/>
      <c r="H158" s="1228"/>
      <c r="I158" s="1228"/>
      <c r="J158" s="1228"/>
      <c r="K158" s="1228"/>
      <c r="L158" s="1228"/>
      <c r="M158" s="1228"/>
      <c r="N158" s="1228"/>
      <c r="O158" s="1228"/>
      <c r="P158" s="1228"/>
      <c r="Q158" s="1228"/>
      <c r="R158" s="1228"/>
      <c r="S158" s="1228"/>
      <c r="T158" s="1228"/>
      <c r="U158" s="1228"/>
      <c r="V158" s="1228"/>
      <c r="W158" s="1228"/>
      <c r="X158" s="1228"/>
      <c r="Y158" s="1228"/>
      <c r="Z158" s="1228"/>
      <c r="AA158" s="1229"/>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c r="DZ158" s="57"/>
      <c r="EA158" s="57"/>
      <c r="EB158" s="57"/>
      <c r="EC158" s="57"/>
      <c r="ED158" s="57"/>
      <c r="EE158" s="57"/>
      <c r="EF158" s="57"/>
      <c r="EG158" s="57"/>
      <c r="EH158" s="57"/>
      <c r="EI158" s="57"/>
      <c r="EJ158" s="57"/>
      <c r="EK158" s="57"/>
      <c r="EL158" s="57"/>
      <c r="EM158" s="57"/>
      <c r="EN158" s="57"/>
      <c r="EO158" s="57"/>
      <c r="EP158" s="57"/>
      <c r="EQ158" s="57"/>
      <c r="ER158" s="57"/>
      <c r="ES158" s="57"/>
      <c r="ET158" s="57"/>
      <c r="EU158" s="57"/>
    </row>
    <row r="159" spans="1:151" s="90" customFormat="1" ht="6" customHeight="1">
      <c r="A159" s="56"/>
      <c r="B159" s="72"/>
      <c r="C159" s="56"/>
      <c r="D159" s="56"/>
      <c r="E159" s="56"/>
      <c r="F159" s="56"/>
      <c r="G159" s="56"/>
      <c r="H159" s="56"/>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c r="EB159" s="57"/>
      <c r="EC159" s="57"/>
      <c r="ED159" s="57"/>
      <c r="EE159" s="57"/>
      <c r="EF159" s="57"/>
      <c r="EG159" s="57"/>
      <c r="EH159" s="57"/>
      <c r="EI159" s="57"/>
      <c r="EJ159" s="57"/>
      <c r="EK159" s="57"/>
      <c r="EL159" s="57"/>
      <c r="EM159" s="57"/>
      <c r="EN159" s="57"/>
      <c r="EO159" s="57"/>
      <c r="EP159" s="57"/>
      <c r="EQ159" s="57"/>
      <c r="ER159" s="57"/>
      <c r="ES159" s="57"/>
      <c r="ET159" s="57"/>
      <c r="EU159" s="57"/>
    </row>
    <row r="160" spans="1:151" s="90" customFormat="1">
      <c r="A160" s="56"/>
      <c r="B160" s="63" t="s">
        <v>140</v>
      </c>
      <c r="C160" s="1"/>
      <c r="D160" s="63" t="s">
        <v>2</v>
      </c>
      <c r="E160" s="1"/>
      <c r="F160" s="56" t="s">
        <v>141</v>
      </c>
      <c r="G160" s="56"/>
      <c r="H160" s="56"/>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row>
    <row r="161" spans="1:151" s="90" customFormat="1">
      <c r="A161" s="56"/>
      <c r="B161" s="72"/>
      <c r="C161" s="56"/>
      <c r="D161" s="56"/>
      <c r="E161" s="56"/>
      <c r="F161" s="56"/>
      <c r="G161" s="56"/>
      <c r="H161" s="56"/>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row>
    <row r="162" spans="1:151" s="90" customFormat="1" ht="12.75" customHeight="1">
      <c r="A162" s="1227" t="s">
        <v>142</v>
      </c>
      <c r="B162" s="1228"/>
      <c r="C162" s="1228"/>
      <c r="D162" s="1228"/>
      <c r="E162" s="1228"/>
      <c r="F162" s="1228"/>
      <c r="G162" s="1228"/>
      <c r="H162" s="1228"/>
      <c r="I162" s="1228"/>
      <c r="J162" s="1228"/>
      <c r="K162" s="1228"/>
      <c r="L162" s="1228"/>
      <c r="M162" s="1228"/>
      <c r="N162" s="1228"/>
      <c r="O162" s="1228"/>
      <c r="P162" s="1228"/>
      <c r="Q162" s="1228"/>
      <c r="R162" s="1228"/>
      <c r="S162" s="1228"/>
      <c r="T162" s="1228"/>
      <c r="U162" s="1228"/>
      <c r="V162" s="1228"/>
      <c r="W162" s="1228"/>
      <c r="X162" s="1228"/>
      <c r="Y162" s="1228"/>
      <c r="Z162" s="1228"/>
      <c r="AA162" s="1229"/>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row>
    <row r="163" spans="1:151" s="90" customFormat="1" ht="6.75" customHeight="1">
      <c r="A163" s="56"/>
      <c r="B163" s="72"/>
      <c r="C163" s="56"/>
      <c r="D163" s="56"/>
      <c r="E163" s="56"/>
      <c r="F163" s="56"/>
      <c r="G163" s="56"/>
      <c r="H163" s="56"/>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row>
    <row r="164" spans="1:151" s="90" customFormat="1">
      <c r="A164" s="56"/>
      <c r="B164" s="63" t="s">
        <v>140</v>
      </c>
      <c r="C164" s="1"/>
      <c r="D164" s="63" t="s">
        <v>2</v>
      </c>
      <c r="E164" s="1"/>
      <c r="F164" s="56" t="s">
        <v>141</v>
      </c>
      <c r="G164" s="56"/>
      <c r="H164" s="56"/>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row>
    <row r="165" spans="1:151" s="90" customFormat="1" ht="6" customHeight="1">
      <c r="A165" s="56"/>
      <c r="B165" s="72"/>
      <c r="C165" s="56"/>
      <c r="D165" s="56"/>
      <c r="E165" s="56"/>
      <c r="F165" s="56"/>
      <c r="G165" s="56"/>
      <c r="H165" s="56"/>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c r="EB165" s="57"/>
      <c r="EC165" s="57"/>
      <c r="ED165" s="57"/>
      <c r="EE165" s="57"/>
      <c r="EF165" s="57"/>
      <c r="EG165" s="57"/>
      <c r="EH165" s="57"/>
      <c r="EI165" s="57"/>
      <c r="EJ165" s="57"/>
      <c r="EK165" s="57"/>
      <c r="EL165" s="57"/>
      <c r="EM165" s="57"/>
      <c r="EN165" s="57"/>
      <c r="EO165" s="57"/>
      <c r="EP165" s="57"/>
      <c r="EQ165" s="57"/>
      <c r="ER165" s="57"/>
      <c r="ES165" s="57"/>
      <c r="ET165" s="57"/>
      <c r="EU165" s="57"/>
    </row>
    <row r="166" spans="1:151" s="90" customFormat="1" ht="4.5" customHeight="1">
      <c r="A166" s="56"/>
      <c r="B166" s="72"/>
      <c r="C166" s="56"/>
      <c r="D166" s="56"/>
      <c r="E166" s="56"/>
      <c r="F166" s="56"/>
      <c r="G166" s="56"/>
      <c r="H166" s="56"/>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c r="DZ166" s="57"/>
      <c r="EA166" s="57"/>
      <c r="EB166" s="57"/>
      <c r="EC166" s="57"/>
      <c r="ED166" s="57"/>
      <c r="EE166" s="57"/>
      <c r="EF166" s="57"/>
      <c r="EG166" s="57"/>
      <c r="EH166" s="57"/>
      <c r="EI166" s="57"/>
      <c r="EJ166" s="57"/>
      <c r="EK166" s="57"/>
      <c r="EL166" s="57"/>
      <c r="EM166" s="57"/>
      <c r="EN166" s="57"/>
      <c r="EO166" s="57"/>
      <c r="EP166" s="57"/>
      <c r="EQ166" s="57"/>
      <c r="ER166" s="57"/>
      <c r="ES166" s="57"/>
      <c r="ET166" s="57"/>
      <c r="EU166" s="57"/>
    </row>
    <row r="167" spans="1:151" s="90" customFormat="1" ht="30.75" customHeight="1">
      <c r="A167" s="1232" t="s">
        <v>143</v>
      </c>
      <c r="B167" s="1232"/>
      <c r="C167" s="1232"/>
      <c r="D167" s="1232"/>
      <c r="E167" s="1232"/>
      <c r="F167" s="1232"/>
      <c r="G167" s="1232"/>
      <c r="H167" s="1232"/>
      <c r="I167" s="1232"/>
      <c r="J167" s="1232"/>
      <c r="K167" s="1232"/>
      <c r="L167" s="1232"/>
      <c r="M167" s="1232"/>
      <c r="N167" s="1232"/>
      <c r="O167" s="1232"/>
      <c r="P167" s="1232"/>
      <c r="Q167" s="1232"/>
      <c r="R167" s="1232"/>
      <c r="S167" s="1232"/>
      <c r="T167" s="1232"/>
      <c r="U167" s="1232"/>
      <c r="V167" s="1232"/>
      <c r="W167" s="1232"/>
      <c r="X167" s="1232"/>
      <c r="Y167" s="1232"/>
      <c r="Z167" s="1232"/>
      <c r="AA167" s="1232"/>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c r="EB167" s="57"/>
      <c r="EC167" s="57"/>
      <c r="ED167" s="57"/>
      <c r="EE167" s="57"/>
      <c r="EF167" s="57"/>
      <c r="EG167" s="57"/>
      <c r="EH167" s="57"/>
      <c r="EI167" s="57"/>
      <c r="EJ167" s="57"/>
      <c r="EK167" s="57"/>
      <c r="EL167" s="57"/>
      <c r="EM167" s="57"/>
      <c r="EN167" s="57"/>
      <c r="EO167" s="57"/>
      <c r="EP167" s="57"/>
      <c r="EQ167" s="57"/>
      <c r="ER167" s="57"/>
      <c r="ES167" s="57"/>
      <c r="ET167" s="57"/>
      <c r="EU167" s="57"/>
    </row>
    <row r="168" spans="1:151" s="90" customFormat="1" ht="6.75" customHeight="1">
      <c r="A168" s="106"/>
      <c r="B168" s="107"/>
      <c r="C168" s="108"/>
      <c r="D168" s="108"/>
      <c r="E168" s="109"/>
      <c r="F168" s="109"/>
      <c r="G168" s="109"/>
      <c r="H168" s="110"/>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57"/>
      <c r="EE168" s="57"/>
      <c r="EF168" s="57"/>
      <c r="EG168" s="57"/>
      <c r="EH168" s="57"/>
      <c r="EI168" s="57"/>
      <c r="EJ168" s="57"/>
      <c r="EK168" s="57"/>
      <c r="EL168" s="57"/>
      <c r="EM168" s="57"/>
      <c r="EN168" s="57"/>
      <c r="EO168" s="57"/>
      <c r="EP168" s="57"/>
      <c r="EQ168" s="57"/>
      <c r="ER168" s="57"/>
      <c r="ES168" s="57"/>
      <c r="ET168" s="57"/>
      <c r="EU168" s="57"/>
    </row>
    <row r="169" spans="1:151" s="90" customFormat="1" ht="12.75" customHeight="1">
      <c r="A169" s="1233" t="s">
        <v>201</v>
      </c>
      <c r="B169" s="1233"/>
      <c r="C169" s="1233"/>
      <c r="D169" s="1233"/>
      <c r="E169" s="1233"/>
      <c r="F169" s="1233"/>
      <c r="G169" s="1233"/>
      <c r="H169" s="1233"/>
      <c r="I169" s="1233"/>
      <c r="J169" s="1233"/>
      <c r="K169" s="1233"/>
      <c r="L169" s="1233"/>
      <c r="M169" s="1233"/>
      <c r="N169" s="1233"/>
      <c r="O169" s="1233"/>
      <c r="P169" s="1233"/>
      <c r="Q169" s="1233"/>
      <c r="R169" s="1233"/>
      <c r="S169" s="1233"/>
      <c r="T169" s="1233"/>
      <c r="U169" s="1233"/>
      <c r="V169" s="1233"/>
      <c r="W169" s="1233"/>
      <c r="X169" s="1233"/>
      <c r="Y169" s="1233"/>
      <c r="Z169" s="1233"/>
      <c r="AA169" s="1233"/>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c r="DZ169" s="57"/>
      <c r="EA169" s="57"/>
      <c r="EB169" s="57"/>
      <c r="EC169" s="57"/>
      <c r="ED169" s="57"/>
      <c r="EE169" s="57"/>
      <c r="EF169" s="57"/>
      <c r="EG169" s="57"/>
      <c r="EH169" s="57"/>
      <c r="EI169" s="57"/>
      <c r="EJ169" s="57"/>
      <c r="EK169" s="57"/>
      <c r="EL169" s="57"/>
      <c r="EM169" s="57"/>
      <c r="EN169" s="57"/>
      <c r="EO169" s="57"/>
      <c r="EP169" s="57"/>
      <c r="EQ169" s="57"/>
      <c r="ER169" s="57"/>
      <c r="ES169" s="57"/>
      <c r="ET169" s="57"/>
      <c r="EU169" s="57"/>
    </row>
    <row r="170" spans="1:151" s="90" customFormat="1">
      <c r="A170" s="1233"/>
      <c r="B170" s="1233"/>
      <c r="C170" s="1233"/>
      <c r="D170" s="1233"/>
      <c r="E170" s="1233"/>
      <c r="F170" s="1233"/>
      <c r="G170" s="1233"/>
      <c r="H170" s="1233"/>
      <c r="I170" s="1233"/>
      <c r="J170" s="1233"/>
      <c r="K170" s="1233"/>
      <c r="L170" s="1233"/>
      <c r="M170" s="1233"/>
      <c r="N170" s="1233"/>
      <c r="O170" s="1233"/>
      <c r="P170" s="1233"/>
      <c r="Q170" s="1233"/>
      <c r="R170" s="1233"/>
      <c r="S170" s="1233"/>
      <c r="T170" s="1233"/>
      <c r="U170" s="1233"/>
      <c r="V170" s="1233"/>
      <c r="W170" s="1233"/>
      <c r="X170" s="1233"/>
      <c r="Y170" s="1233"/>
      <c r="Z170" s="1233"/>
      <c r="AA170" s="1233"/>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row>
    <row r="171" spans="1:151" s="90" customFormat="1" ht="60" customHeight="1">
      <c r="A171" s="1233"/>
      <c r="B171" s="1233"/>
      <c r="C171" s="1233"/>
      <c r="D171" s="1233"/>
      <c r="E171" s="1233"/>
      <c r="F171" s="1233"/>
      <c r="G171" s="1233"/>
      <c r="H171" s="1233"/>
      <c r="I171" s="1233"/>
      <c r="J171" s="1233"/>
      <c r="K171" s="1233"/>
      <c r="L171" s="1233"/>
      <c r="M171" s="1233"/>
      <c r="N171" s="1233"/>
      <c r="O171" s="1233"/>
      <c r="P171" s="1233"/>
      <c r="Q171" s="1233"/>
      <c r="R171" s="1233"/>
      <c r="S171" s="1233"/>
      <c r="T171" s="1233"/>
      <c r="U171" s="1233"/>
      <c r="V171" s="1233"/>
      <c r="W171" s="1233"/>
      <c r="X171" s="1233"/>
      <c r="Y171" s="1233"/>
      <c r="Z171" s="1233"/>
      <c r="AA171" s="1233"/>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57"/>
      <c r="EE171" s="57"/>
      <c r="EF171" s="57"/>
      <c r="EG171" s="57"/>
      <c r="EH171" s="57"/>
      <c r="EI171" s="57"/>
      <c r="EJ171" s="57"/>
      <c r="EK171" s="57"/>
      <c r="EL171" s="57"/>
      <c r="EM171" s="57"/>
      <c r="EN171" s="57"/>
      <c r="EO171" s="57"/>
      <c r="EP171" s="57"/>
      <c r="EQ171" s="57"/>
      <c r="ER171" s="57"/>
      <c r="ES171" s="57"/>
      <c r="ET171" s="57"/>
      <c r="EU171" s="57"/>
    </row>
    <row r="172" spans="1:151" s="90" customFormat="1" ht="6.75" customHeight="1">
      <c r="A172" s="106"/>
      <c r="B172" s="107"/>
      <c r="C172" s="108"/>
      <c r="D172" s="108"/>
      <c r="E172" s="109"/>
      <c r="F172" s="109"/>
      <c r="G172" s="109"/>
      <c r="H172" s="110"/>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row>
    <row r="173" spans="1:151" s="90" customFormat="1" ht="12.75" customHeight="1">
      <c r="A173" s="1234" t="s">
        <v>202</v>
      </c>
      <c r="B173" s="1234"/>
      <c r="C173" s="1234"/>
      <c r="D173" s="1234"/>
      <c r="E173" s="1234"/>
      <c r="F173" s="1234"/>
      <c r="G173" s="1234"/>
      <c r="H173" s="1234"/>
      <c r="I173" s="1234"/>
      <c r="J173" s="1234"/>
      <c r="K173" s="1234"/>
      <c r="L173" s="1234"/>
      <c r="M173" s="1234"/>
      <c r="N173" s="1234"/>
      <c r="O173" s="1234"/>
      <c r="P173" s="1234"/>
      <c r="Q173" s="1234"/>
      <c r="R173" s="1234"/>
      <c r="S173" s="1234"/>
      <c r="T173" s="1234"/>
      <c r="U173" s="1234"/>
      <c r="V173" s="1234"/>
      <c r="W173" s="1234"/>
      <c r="X173" s="1234"/>
      <c r="Y173" s="1234"/>
      <c r="Z173" s="1234"/>
      <c r="AA173" s="1234"/>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row>
    <row r="174" spans="1:151" s="90" customFormat="1">
      <c r="A174" s="1234"/>
      <c r="B174" s="1234"/>
      <c r="C174" s="1234"/>
      <c r="D174" s="1234"/>
      <c r="E174" s="1234"/>
      <c r="F174" s="1234"/>
      <c r="G174" s="1234"/>
      <c r="H174" s="1234"/>
      <c r="I174" s="1234"/>
      <c r="J174" s="1234"/>
      <c r="K174" s="1234"/>
      <c r="L174" s="1234"/>
      <c r="M174" s="1234"/>
      <c r="N174" s="1234"/>
      <c r="O174" s="1234"/>
      <c r="P174" s="1234"/>
      <c r="Q174" s="1234"/>
      <c r="R174" s="1234"/>
      <c r="S174" s="1234"/>
      <c r="T174" s="1234"/>
      <c r="U174" s="1234"/>
      <c r="V174" s="1234"/>
      <c r="W174" s="1234"/>
      <c r="X174" s="1234"/>
      <c r="Y174" s="1234"/>
      <c r="Z174" s="1234"/>
      <c r="AA174" s="1234"/>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row>
    <row r="175" spans="1:151" s="90" customFormat="1">
      <c r="A175" s="1234"/>
      <c r="B175" s="1234"/>
      <c r="C175" s="1234"/>
      <c r="D175" s="1234"/>
      <c r="E175" s="1234"/>
      <c r="F175" s="1234"/>
      <c r="G175" s="1234"/>
      <c r="H175" s="1234"/>
      <c r="I175" s="1234"/>
      <c r="J175" s="1234"/>
      <c r="K175" s="1234"/>
      <c r="L175" s="1234"/>
      <c r="M175" s="1234"/>
      <c r="N175" s="1234"/>
      <c r="O175" s="1234"/>
      <c r="P175" s="1234"/>
      <c r="Q175" s="1234"/>
      <c r="R175" s="1234"/>
      <c r="S175" s="1234"/>
      <c r="T175" s="1234"/>
      <c r="U175" s="1234"/>
      <c r="V175" s="1234"/>
      <c r="W175" s="1234"/>
      <c r="X175" s="1234"/>
      <c r="Y175" s="1234"/>
      <c r="Z175" s="1234"/>
      <c r="AA175" s="1234"/>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row>
    <row r="176" spans="1:151" s="90" customFormat="1" ht="63" customHeight="1">
      <c r="A176" s="1234"/>
      <c r="B176" s="1234"/>
      <c r="C176" s="1234"/>
      <c r="D176" s="1234"/>
      <c r="E176" s="1234"/>
      <c r="F176" s="1234"/>
      <c r="G176" s="1234"/>
      <c r="H176" s="1234"/>
      <c r="I176" s="1234"/>
      <c r="J176" s="1234"/>
      <c r="K176" s="1234"/>
      <c r="L176" s="1234"/>
      <c r="M176" s="1234"/>
      <c r="N176" s="1234"/>
      <c r="O176" s="1234"/>
      <c r="P176" s="1234"/>
      <c r="Q176" s="1234"/>
      <c r="R176" s="1234"/>
      <c r="S176" s="1234"/>
      <c r="T176" s="1234"/>
      <c r="U176" s="1234"/>
      <c r="V176" s="1234"/>
      <c r="W176" s="1234"/>
      <c r="X176" s="1234"/>
      <c r="Y176" s="1234"/>
      <c r="Z176" s="1234"/>
      <c r="AA176" s="1234"/>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c r="EH176" s="57"/>
      <c r="EI176" s="57"/>
      <c r="EJ176" s="57"/>
      <c r="EK176" s="57"/>
      <c r="EL176" s="57"/>
      <c r="EM176" s="57"/>
      <c r="EN176" s="57"/>
      <c r="EO176" s="57"/>
      <c r="EP176" s="57"/>
      <c r="EQ176" s="57"/>
      <c r="ER176" s="57"/>
      <c r="ES176" s="57"/>
      <c r="ET176" s="57"/>
      <c r="EU176" s="57"/>
    </row>
    <row r="177" spans="1:151" s="90" customFormat="1" ht="9" customHeight="1">
      <c r="A177" s="111"/>
      <c r="B177" s="111"/>
      <c r="C177" s="111"/>
      <c r="D177" s="111"/>
      <c r="E177" s="111"/>
      <c r="F177" s="111"/>
      <c r="G177" s="111"/>
      <c r="H177" s="111"/>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row>
    <row r="178" spans="1:151" s="90" customFormat="1" ht="33.75" customHeight="1">
      <c r="A178" s="112" t="s">
        <v>153</v>
      </c>
      <c r="B178" s="112"/>
      <c r="C178" s="113"/>
      <c r="D178" s="113"/>
      <c r="E178" s="1231"/>
      <c r="F178" s="1231"/>
      <c r="G178" s="1231"/>
      <c r="H178" s="1231"/>
      <c r="I178" s="1231"/>
      <c r="J178" s="1231"/>
      <c r="K178" s="1231"/>
      <c r="L178" s="1231"/>
      <c r="M178" s="1231"/>
      <c r="N178" s="1231"/>
      <c r="O178" s="1231"/>
      <c r="Q178" s="90" t="s">
        <v>154</v>
      </c>
      <c r="R178" s="896"/>
      <c r="S178" s="896"/>
      <c r="T178" s="896"/>
      <c r="U178" s="896"/>
      <c r="V178" s="896"/>
      <c r="W178" s="896"/>
      <c r="X178" s="896"/>
      <c r="Y178" s="896"/>
      <c r="Z178" s="896"/>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row>
    <row r="179" spans="1:151" s="90" customFormat="1">
      <c r="A179" s="104"/>
      <c r="B179" s="104"/>
      <c r="C179" s="1230"/>
      <c r="D179" s="1230"/>
      <c r="E179" s="1230"/>
      <c r="F179" s="1230"/>
      <c r="G179" s="1230"/>
      <c r="H179" s="1230"/>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row>
    <row r="180" spans="1:151" s="116" customFormat="1" ht="1.5" customHeight="1">
      <c r="A180" s="114"/>
      <c r="B180" s="114"/>
      <c r="C180" s="115"/>
      <c r="D180" s="115"/>
      <c r="E180" s="115"/>
      <c r="F180" s="115"/>
      <c r="G180" s="115"/>
      <c r="H180" s="115"/>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c r="BR180" s="117"/>
      <c r="BS180" s="117"/>
      <c r="BT180" s="117"/>
      <c r="BU180" s="117"/>
      <c r="BV180" s="117"/>
      <c r="BW180" s="117"/>
      <c r="BX180" s="117"/>
      <c r="BY180" s="117"/>
      <c r="BZ180" s="117"/>
      <c r="CA180" s="117"/>
      <c r="CB180" s="117"/>
      <c r="CC180" s="117"/>
      <c r="CD180" s="117"/>
      <c r="CE180" s="117"/>
      <c r="CF180" s="117"/>
      <c r="CG180" s="117"/>
      <c r="CH180" s="117"/>
      <c r="CI180" s="117"/>
      <c r="CJ180" s="117"/>
      <c r="CK180" s="117"/>
      <c r="CL180" s="117"/>
      <c r="CM180" s="117"/>
      <c r="CN180" s="117"/>
      <c r="CO180" s="117"/>
      <c r="CP180" s="117"/>
      <c r="CQ180" s="117"/>
      <c r="CR180" s="117"/>
      <c r="CS180" s="117"/>
      <c r="CT180" s="117"/>
      <c r="CU180" s="117"/>
      <c r="CV180" s="117"/>
      <c r="CW180" s="117"/>
      <c r="CX180" s="117"/>
      <c r="CY180" s="117"/>
      <c r="CZ180" s="117"/>
      <c r="DA180" s="117"/>
      <c r="DB180" s="117"/>
      <c r="DC180" s="117"/>
      <c r="DD180" s="117"/>
      <c r="DE180" s="117"/>
      <c r="DF180" s="117"/>
      <c r="DG180" s="117"/>
      <c r="DH180" s="117"/>
      <c r="DI180" s="117"/>
      <c r="DJ180" s="117"/>
      <c r="DK180" s="117"/>
      <c r="DL180" s="117"/>
      <c r="DM180" s="117"/>
      <c r="DN180" s="117"/>
      <c r="DO180" s="117"/>
      <c r="DP180" s="117"/>
      <c r="DQ180" s="117"/>
      <c r="DR180" s="117"/>
      <c r="DS180" s="117"/>
      <c r="DT180" s="117"/>
      <c r="DU180" s="117"/>
      <c r="DV180" s="117"/>
      <c r="DW180" s="117"/>
      <c r="DX180" s="117"/>
      <c r="DY180" s="117"/>
      <c r="DZ180" s="117"/>
      <c r="EA180" s="117"/>
      <c r="EB180" s="117"/>
      <c r="EC180" s="117"/>
      <c r="ED180" s="117"/>
      <c r="EE180" s="117"/>
      <c r="EF180" s="117"/>
      <c r="EG180" s="117"/>
      <c r="EH180" s="117"/>
      <c r="EI180" s="117"/>
      <c r="EJ180" s="117"/>
      <c r="EK180" s="117"/>
      <c r="EL180" s="117"/>
      <c r="EM180" s="117"/>
      <c r="EN180" s="117"/>
      <c r="EO180" s="117"/>
      <c r="EP180" s="117"/>
      <c r="EQ180" s="117"/>
      <c r="ER180" s="117"/>
      <c r="ES180" s="117"/>
      <c r="ET180" s="117"/>
      <c r="EU180" s="117"/>
    </row>
    <row r="181" spans="1:151" s="90" customFormat="1" ht="6" customHeight="1">
      <c r="A181" s="109"/>
      <c r="B181" s="109"/>
      <c r="C181" s="118"/>
      <c r="D181" s="118"/>
      <c r="E181" s="118"/>
      <c r="F181" s="118"/>
      <c r="G181" s="118"/>
      <c r="H181" s="118"/>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row>
    <row r="182" spans="1:151" s="90" customFormat="1" ht="18">
      <c r="A182" s="109"/>
      <c r="B182" s="119" t="s">
        <v>166</v>
      </c>
      <c r="C182" s="118"/>
      <c r="D182" s="118"/>
      <c r="E182" s="118"/>
      <c r="F182" s="118"/>
      <c r="G182" s="118"/>
      <c r="H182" s="118"/>
      <c r="Z182" s="90" t="s">
        <v>151</v>
      </c>
      <c r="AA182" s="90" t="s">
        <v>152</v>
      </c>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row>
    <row r="183" spans="1:151" s="90" customFormat="1">
      <c r="A183" s="106"/>
      <c r="B183" s="107"/>
      <c r="C183" s="108"/>
      <c r="D183" s="108"/>
      <c r="E183" s="109"/>
      <c r="F183" s="109"/>
      <c r="G183" s="109"/>
      <c r="H183" s="110"/>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57"/>
      <c r="EE183" s="57"/>
      <c r="EF183" s="57"/>
      <c r="EG183" s="57"/>
      <c r="EH183" s="57"/>
      <c r="EI183" s="57"/>
      <c r="EJ183" s="57"/>
      <c r="EK183" s="57"/>
      <c r="EL183" s="57"/>
      <c r="EM183" s="57"/>
      <c r="EN183" s="57"/>
      <c r="EO183" s="57"/>
      <c r="EP183" s="57"/>
      <c r="EQ183" s="57"/>
      <c r="ER183" s="57"/>
      <c r="ES183" s="57"/>
      <c r="ET183" s="57"/>
      <c r="EU183" s="57"/>
    </row>
    <row r="184" spans="1:151" s="90" customFormat="1" ht="12.75" customHeight="1">
      <c r="A184" s="1226" t="s">
        <v>144</v>
      </c>
      <c r="B184" s="1226"/>
      <c r="C184" s="1226"/>
      <c r="D184" s="1226"/>
      <c r="E184" s="1226"/>
      <c r="F184" s="1226"/>
      <c r="G184" s="1226"/>
      <c r="H184" s="1226"/>
      <c r="I184" s="1226"/>
      <c r="J184" s="1226"/>
      <c r="K184" s="1226"/>
      <c r="L184" s="1226"/>
      <c r="M184" s="1226"/>
      <c r="N184" s="1226"/>
      <c r="O184" s="1226"/>
      <c r="P184" s="1226"/>
      <c r="Q184" s="1226"/>
      <c r="R184" s="1226"/>
      <c r="S184" s="1226"/>
      <c r="T184" s="1226"/>
      <c r="Z184" s="1"/>
      <c r="AA184" s="1"/>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row>
    <row r="185" spans="1:151" s="90" customFormat="1" ht="12.75" customHeight="1">
      <c r="A185" s="1226" t="s">
        <v>145</v>
      </c>
      <c r="B185" s="1226"/>
      <c r="C185" s="1226"/>
      <c r="D185" s="1226"/>
      <c r="E185" s="1226"/>
      <c r="F185" s="1226"/>
      <c r="G185" s="1226"/>
      <c r="H185" s="1226"/>
      <c r="I185" s="1226"/>
      <c r="J185" s="1226"/>
      <c r="K185" s="1226"/>
      <c r="L185" s="1226"/>
      <c r="M185" s="1226"/>
      <c r="N185" s="1226"/>
      <c r="O185" s="1226"/>
      <c r="P185" s="1226"/>
      <c r="Q185" s="1226"/>
      <c r="R185" s="1226"/>
      <c r="S185" s="1226"/>
      <c r="T185" s="1226"/>
      <c r="Z185" s="1"/>
      <c r="AA185" s="1"/>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row>
    <row r="186" spans="1:151" s="90" customFormat="1" ht="12.75" customHeight="1">
      <c r="A186" s="1226" t="s">
        <v>146</v>
      </c>
      <c r="B186" s="1226"/>
      <c r="C186" s="1226"/>
      <c r="D186" s="1226"/>
      <c r="E186" s="1226"/>
      <c r="F186" s="1226"/>
      <c r="G186" s="1226"/>
      <c r="H186" s="1226"/>
      <c r="I186" s="1226"/>
      <c r="J186" s="1226"/>
      <c r="K186" s="1226"/>
      <c r="L186" s="1226"/>
      <c r="M186" s="1226"/>
      <c r="N186" s="1226"/>
      <c r="O186" s="1226"/>
      <c r="P186" s="1226"/>
      <c r="Q186" s="1226"/>
      <c r="R186" s="1226"/>
      <c r="S186" s="1226"/>
      <c r="T186" s="1226"/>
      <c r="Z186" s="1"/>
      <c r="AA186" s="1"/>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c r="EC186" s="57"/>
      <c r="ED186" s="57"/>
      <c r="EE186" s="57"/>
      <c r="EF186" s="57"/>
      <c r="EG186" s="57"/>
      <c r="EH186" s="57"/>
      <c r="EI186" s="57"/>
      <c r="EJ186" s="57"/>
      <c r="EK186" s="57"/>
      <c r="EL186" s="57"/>
      <c r="EM186" s="57"/>
      <c r="EN186" s="57"/>
      <c r="EO186" s="57"/>
      <c r="EP186" s="57"/>
      <c r="EQ186" s="57"/>
      <c r="ER186" s="57"/>
      <c r="ES186" s="57"/>
      <c r="ET186" s="57"/>
      <c r="EU186" s="57"/>
    </row>
    <row r="187" spans="1:151" s="90" customFormat="1" ht="12.75" customHeight="1">
      <c r="A187" s="1226" t="s">
        <v>147</v>
      </c>
      <c r="B187" s="1226"/>
      <c r="C187" s="1226"/>
      <c r="D187" s="1226"/>
      <c r="E187" s="1226"/>
      <c r="F187" s="1226"/>
      <c r="G187" s="1226"/>
      <c r="H187" s="1226"/>
      <c r="I187" s="1226"/>
      <c r="J187" s="1226"/>
      <c r="K187" s="1226"/>
      <c r="L187" s="1226"/>
      <c r="M187" s="1226"/>
      <c r="N187" s="1226"/>
      <c r="O187" s="1226"/>
      <c r="P187" s="1226"/>
      <c r="Q187" s="1226"/>
      <c r="R187" s="1226"/>
      <c r="S187" s="1226"/>
      <c r="T187" s="1226"/>
      <c r="Z187" s="1"/>
      <c r="AA187" s="1"/>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57"/>
      <c r="EE187" s="57"/>
      <c r="EF187" s="57"/>
      <c r="EG187" s="57"/>
      <c r="EH187" s="57"/>
      <c r="EI187" s="57"/>
      <c r="EJ187" s="57"/>
      <c r="EK187" s="57"/>
      <c r="EL187" s="57"/>
      <c r="EM187" s="57"/>
      <c r="EN187" s="57"/>
      <c r="EO187" s="57"/>
      <c r="EP187" s="57"/>
      <c r="EQ187" s="57"/>
      <c r="ER187" s="57"/>
      <c r="ES187" s="57"/>
      <c r="ET187" s="57"/>
      <c r="EU187" s="57"/>
    </row>
    <row r="188" spans="1:151" s="90" customFormat="1" ht="12.75" customHeight="1">
      <c r="A188" s="1226" t="s">
        <v>148</v>
      </c>
      <c r="B188" s="1226"/>
      <c r="C188" s="1226"/>
      <c r="D188" s="1226"/>
      <c r="E188" s="1226"/>
      <c r="F188" s="1226"/>
      <c r="G188" s="1226"/>
      <c r="H188" s="1226"/>
      <c r="I188" s="1226"/>
      <c r="J188" s="1226"/>
      <c r="K188" s="1226"/>
      <c r="L188" s="1226"/>
      <c r="M188" s="1226"/>
      <c r="N188" s="1226"/>
      <c r="O188" s="1226"/>
      <c r="P188" s="1226"/>
      <c r="Q188" s="1226"/>
      <c r="R188" s="1226"/>
      <c r="S188" s="1226"/>
      <c r="T188" s="1226"/>
      <c r="Z188" s="1"/>
      <c r="AA188" s="1"/>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57"/>
      <c r="EE188" s="57"/>
      <c r="EF188" s="57"/>
      <c r="EG188" s="57"/>
      <c r="EH188" s="57"/>
      <c r="EI188" s="57"/>
      <c r="EJ188" s="57"/>
      <c r="EK188" s="57"/>
      <c r="EL188" s="57"/>
      <c r="EM188" s="57"/>
      <c r="EN188" s="57"/>
      <c r="EO188" s="57"/>
      <c r="EP188" s="57"/>
      <c r="EQ188" s="57"/>
      <c r="ER188" s="57"/>
      <c r="ES188" s="57"/>
      <c r="ET188" s="57"/>
      <c r="EU188" s="57"/>
    </row>
    <row r="189" spans="1:151" s="90" customFormat="1" ht="12.75" customHeight="1">
      <c r="A189" s="1226" t="s">
        <v>149</v>
      </c>
      <c r="B189" s="1226"/>
      <c r="C189" s="1226"/>
      <c r="D189" s="1226"/>
      <c r="E189" s="1226"/>
      <c r="F189" s="1226"/>
      <c r="G189" s="1226"/>
      <c r="H189" s="1226"/>
      <c r="I189" s="1226"/>
      <c r="J189" s="1226"/>
      <c r="K189" s="1226"/>
      <c r="L189" s="1226"/>
      <c r="M189" s="1226"/>
      <c r="N189" s="1226"/>
      <c r="O189" s="1226"/>
      <c r="P189" s="1226"/>
      <c r="Q189" s="1226"/>
      <c r="R189" s="1226"/>
      <c r="S189" s="1226"/>
      <c r="T189" s="1226"/>
      <c r="Z189" s="1"/>
      <c r="AA189" s="1"/>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c r="DZ189" s="57"/>
      <c r="EA189" s="57"/>
      <c r="EB189" s="57"/>
      <c r="EC189" s="57"/>
      <c r="ED189" s="57"/>
      <c r="EE189" s="57"/>
      <c r="EF189" s="57"/>
      <c r="EG189" s="57"/>
      <c r="EH189" s="57"/>
      <c r="EI189" s="57"/>
      <c r="EJ189" s="57"/>
      <c r="EK189" s="57"/>
      <c r="EL189" s="57"/>
      <c r="EM189" s="57"/>
      <c r="EN189" s="57"/>
      <c r="EO189" s="57"/>
      <c r="EP189" s="57"/>
      <c r="EQ189" s="57"/>
      <c r="ER189" s="57"/>
      <c r="ES189" s="57"/>
      <c r="ET189" s="57"/>
      <c r="EU189" s="57"/>
    </row>
    <row r="190" spans="1:151" s="90" customFormat="1" ht="12.75" customHeight="1">
      <c r="A190" s="1226" t="s">
        <v>150</v>
      </c>
      <c r="B190" s="1226"/>
      <c r="C190" s="1226"/>
      <c r="D190" s="1226"/>
      <c r="E190" s="1226"/>
      <c r="F190" s="1226"/>
      <c r="G190" s="1226"/>
      <c r="H190" s="1226"/>
      <c r="I190" s="1226"/>
      <c r="J190" s="1226"/>
      <c r="K190" s="1226"/>
      <c r="L190" s="1226"/>
      <c r="M190" s="1226"/>
      <c r="N190" s="1226"/>
      <c r="O190" s="1226"/>
      <c r="P190" s="1226"/>
      <c r="Q190" s="1226"/>
      <c r="R190" s="1226"/>
      <c r="S190" s="1226"/>
      <c r="T190" s="1226"/>
      <c r="Z190" s="1"/>
      <c r="AA190" s="1"/>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row>
    <row r="191" spans="1:151" s="90" customFormat="1" ht="8.25" customHeight="1">
      <c r="A191" s="106"/>
      <c r="B191" s="107"/>
      <c r="C191" s="108"/>
      <c r="D191" s="108"/>
      <c r="E191" s="109"/>
      <c r="F191" s="109"/>
      <c r="G191" s="109"/>
      <c r="H191" s="110"/>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row>
    <row r="192" spans="1:151" s="90" customFormat="1" ht="1.5" customHeight="1">
      <c r="A192" s="56"/>
      <c r="B192" s="56"/>
      <c r="C192" s="56"/>
      <c r="D192" s="56"/>
      <c r="E192" s="56"/>
      <c r="F192" s="56"/>
      <c r="G192" s="56"/>
      <c r="H192" s="56"/>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row>
    <row r="193" spans="1:151" s="90" customFormat="1" ht="33" customHeight="1">
      <c r="A193" s="112" t="s">
        <v>153</v>
      </c>
      <c r="B193" s="112"/>
      <c r="C193" s="113"/>
      <c r="D193" s="113"/>
      <c r="E193" s="1231"/>
      <c r="F193" s="1231"/>
      <c r="G193" s="1231"/>
      <c r="H193" s="1231"/>
      <c r="I193" s="1231"/>
      <c r="J193" s="1231"/>
      <c r="K193" s="1231"/>
      <c r="L193" s="1231"/>
      <c r="M193" s="1231"/>
      <c r="N193" s="1231"/>
      <c r="O193" s="1231"/>
      <c r="Q193" s="90" t="s">
        <v>154</v>
      </c>
      <c r="R193" s="896"/>
      <c r="S193" s="896"/>
      <c r="T193" s="896"/>
      <c r="U193" s="896"/>
      <c r="V193" s="896"/>
      <c r="W193" s="896"/>
      <c r="X193" s="896"/>
      <c r="Y193" s="896"/>
      <c r="Z193" s="896"/>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row>
    <row r="194" spans="1:151" s="90" customFormat="1" ht="13.5" thickBot="1">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c r="EB194" s="57"/>
      <c r="EC194" s="57"/>
      <c r="ED194" s="57"/>
      <c r="EE194" s="57"/>
      <c r="EF194" s="57"/>
      <c r="EG194" s="57"/>
      <c r="EH194" s="57"/>
      <c r="EI194" s="57"/>
      <c r="EJ194" s="57"/>
      <c r="EK194" s="57"/>
      <c r="EL194" s="57"/>
      <c r="EM194" s="57"/>
      <c r="EN194" s="57"/>
      <c r="EO194" s="57"/>
      <c r="EP194" s="57"/>
      <c r="EQ194" s="57"/>
      <c r="ER194" s="57"/>
      <c r="ES194" s="57"/>
      <c r="ET194" s="57"/>
      <c r="EU194" s="57"/>
    </row>
    <row r="195" spans="1:151" s="90" customFormat="1">
      <c r="B195" s="1217" t="s">
        <v>105</v>
      </c>
      <c r="C195" s="1218"/>
      <c r="D195" s="1218"/>
      <c r="E195" s="1218"/>
      <c r="F195" s="1218"/>
      <c r="G195" s="1218"/>
      <c r="H195" s="1218"/>
      <c r="I195" s="1218"/>
      <c r="J195" s="1218"/>
      <c r="K195" s="1218"/>
      <c r="L195" s="1218"/>
      <c r="M195" s="1218"/>
      <c r="N195" s="1218"/>
      <c r="O195" s="1218"/>
      <c r="P195" s="1218"/>
      <c r="Q195" s="1218"/>
      <c r="R195" s="1218"/>
      <c r="S195" s="1218"/>
      <c r="T195" s="1218"/>
      <c r="U195" s="1218"/>
      <c r="V195" s="1218"/>
      <c r="W195" s="1218"/>
      <c r="X195" s="1218"/>
      <c r="Y195" s="1218"/>
      <c r="Z195" s="1218"/>
      <c r="AA195" s="1219"/>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57"/>
      <c r="EE195" s="57"/>
      <c r="EF195" s="57"/>
      <c r="EG195" s="57"/>
      <c r="EH195" s="57"/>
      <c r="EI195" s="57"/>
      <c r="EJ195" s="57"/>
      <c r="EK195" s="57"/>
      <c r="EL195" s="57"/>
      <c r="EM195" s="57"/>
      <c r="EN195" s="57"/>
      <c r="EO195" s="57"/>
      <c r="EP195" s="57"/>
      <c r="EQ195" s="57"/>
      <c r="ER195" s="57"/>
      <c r="ES195" s="57"/>
      <c r="ET195" s="57"/>
      <c r="EU195" s="57"/>
    </row>
    <row r="196" spans="1:151" s="90" customFormat="1">
      <c r="B196" s="1220"/>
      <c r="C196" s="1221"/>
      <c r="D196" s="1221"/>
      <c r="E196" s="1221"/>
      <c r="F196" s="1221"/>
      <c r="G196" s="1221"/>
      <c r="H196" s="1221"/>
      <c r="I196" s="1221"/>
      <c r="J196" s="1221"/>
      <c r="K196" s="1221"/>
      <c r="L196" s="1221"/>
      <c r="M196" s="1221"/>
      <c r="N196" s="1221"/>
      <c r="O196" s="1221"/>
      <c r="P196" s="1221"/>
      <c r="Q196" s="1221"/>
      <c r="R196" s="1221"/>
      <c r="S196" s="1221"/>
      <c r="T196" s="1221"/>
      <c r="U196" s="1221"/>
      <c r="V196" s="1221"/>
      <c r="W196" s="1221"/>
      <c r="X196" s="1221"/>
      <c r="Y196" s="1221"/>
      <c r="Z196" s="1221"/>
      <c r="AA196" s="1222"/>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57"/>
      <c r="EE196" s="57"/>
      <c r="EF196" s="57"/>
      <c r="EG196" s="57"/>
      <c r="EH196" s="57"/>
      <c r="EI196" s="57"/>
      <c r="EJ196" s="57"/>
      <c r="EK196" s="57"/>
      <c r="EL196" s="57"/>
      <c r="EM196" s="57"/>
      <c r="EN196" s="57"/>
      <c r="EO196" s="57"/>
      <c r="EP196" s="57"/>
      <c r="EQ196" s="57"/>
      <c r="ER196" s="57"/>
      <c r="ES196" s="57"/>
      <c r="ET196" s="57"/>
      <c r="EU196" s="57"/>
    </row>
    <row r="197" spans="1:151" s="90" customFormat="1" ht="13.5" thickBot="1">
      <c r="B197" s="1223"/>
      <c r="C197" s="1224"/>
      <c r="D197" s="1224"/>
      <c r="E197" s="1224"/>
      <c r="F197" s="1224"/>
      <c r="G197" s="1224"/>
      <c r="H197" s="1224"/>
      <c r="I197" s="1224"/>
      <c r="J197" s="1224"/>
      <c r="K197" s="1224"/>
      <c r="L197" s="1224"/>
      <c r="M197" s="1224"/>
      <c r="N197" s="1224"/>
      <c r="O197" s="1224"/>
      <c r="P197" s="1224"/>
      <c r="Q197" s="1224"/>
      <c r="R197" s="1224"/>
      <c r="S197" s="1224"/>
      <c r="T197" s="1224"/>
      <c r="U197" s="1224"/>
      <c r="V197" s="1224"/>
      <c r="W197" s="1224"/>
      <c r="X197" s="1224"/>
      <c r="Y197" s="1224"/>
      <c r="Z197" s="1224"/>
      <c r="AA197" s="1225"/>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c r="EB197" s="57"/>
      <c r="EC197" s="57"/>
      <c r="ED197" s="57"/>
      <c r="EE197" s="57"/>
      <c r="EF197" s="57"/>
      <c r="EG197" s="57"/>
      <c r="EH197" s="57"/>
      <c r="EI197" s="57"/>
      <c r="EJ197" s="57"/>
      <c r="EK197" s="57"/>
      <c r="EL197" s="57"/>
      <c r="EM197" s="57"/>
      <c r="EN197" s="57"/>
      <c r="EO197" s="57"/>
      <c r="EP197" s="57"/>
      <c r="EQ197" s="57"/>
      <c r="ER197" s="57"/>
      <c r="ES197" s="57"/>
      <c r="ET197" s="57"/>
      <c r="EU197" s="57"/>
    </row>
    <row r="198" spans="1:151" s="90" customFormat="1">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c r="DZ198" s="57"/>
      <c r="EA198" s="57"/>
      <c r="EB198" s="57"/>
      <c r="EC198" s="57"/>
      <c r="ED198" s="57"/>
      <c r="EE198" s="57"/>
      <c r="EF198" s="57"/>
      <c r="EG198" s="57"/>
      <c r="EH198" s="57"/>
      <c r="EI198" s="57"/>
      <c r="EJ198" s="57"/>
      <c r="EK198" s="57"/>
      <c r="EL198" s="57"/>
      <c r="EM198" s="57"/>
      <c r="EN198" s="57"/>
      <c r="EO198" s="57"/>
      <c r="EP198" s="57"/>
      <c r="EQ198" s="57"/>
      <c r="ER198" s="57"/>
      <c r="ES198" s="57"/>
      <c r="ET198" s="57"/>
      <c r="EU198" s="57"/>
    </row>
    <row r="199" spans="1:151" s="90" customFormat="1" ht="1.5" customHeight="1">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57"/>
      <c r="EE199" s="57"/>
      <c r="EF199" s="57"/>
      <c r="EG199" s="57"/>
      <c r="EH199" s="57"/>
      <c r="EI199" s="57"/>
      <c r="EJ199" s="57"/>
      <c r="EK199" s="57"/>
      <c r="EL199" s="57"/>
      <c r="EM199" s="57"/>
      <c r="EN199" s="57"/>
      <c r="EO199" s="57"/>
      <c r="EP199" s="57"/>
      <c r="EQ199" s="57"/>
      <c r="ER199" s="57"/>
      <c r="ES199" s="57"/>
      <c r="ET199" s="57"/>
      <c r="EU199" s="57"/>
    </row>
    <row r="200" spans="1:151" s="90" customFormat="1" hidden="1">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57"/>
      <c r="EE200" s="57"/>
      <c r="EF200" s="57"/>
      <c r="EG200" s="57"/>
      <c r="EH200" s="57"/>
      <c r="EI200" s="57"/>
      <c r="EJ200" s="57"/>
      <c r="EK200" s="57"/>
      <c r="EL200" s="57"/>
      <c r="EM200" s="57"/>
      <c r="EN200" s="57"/>
      <c r="EO200" s="57"/>
      <c r="EP200" s="57"/>
      <c r="EQ200" s="57"/>
      <c r="ER200" s="57"/>
      <c r="ES200" s="57"/>
      <c r="ET200" s="57"/>
      <c r="EU200" s="57"/>
    </row>
    <row r="201" spans="1:151" s="90" customFormat="1">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DP201" s="57"/>
      <c r="DQ201" s="57"/>
      <c r="DR201" s="57"/>
      <c r="DS201" s="57"/>
      <c r="DT201" s="57"/>
      <c r="DU201" s="57"/>
      <c r="DV201" s="57"/>
      <c r="DW201" s="57"/>
      <c r="DX201" s="57"/>
      <c r="DY201" s="57"/>
      <c r="DZ201" s="57"/>
      <c r="EA201" s="57"/>
      <c r="EB201" s="57"/>
      <c r="EC201" s="57"/>
      <c r="ED201" s="57"/>
      <c r="EE201" s="57"/>
      <c r="EF201" s="57"/>
      <c r="EG201" s="57"/>
      <c r="EH201" s="57"/>
      <c r="EI201" s="57"/>
      <c r="EJ201" s="57"/>
      <c r="EK201" s="57"/>
      <c r="EL201" s="57"/>
      <c r="EM201" s="57"/>
      <c r="EN201" s="57"/>
      <c r="EO201" s="57"/>
      <c r="EP201" s="57"/>
      <c r="EQ201" s="57"/>
      <c r="ER201" s="57"/>
      <c r="ES201" s="57"/>
      <c r="ET201" s="57"/>
      <c r="EU201" s="57"/>
    </row>
    <row r="202" spans="1:151" s="90" customFormat="1">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DP202" s="57"/>
      <c r="DQ202" s="57"/>
      <c r="DR202" s="57"/>
      <c r="DS202" s="57"/>
      <c r="DT202" s="57"/>
      <c r="DU202" s="57"/>
      <c r="DV202" s="57"/>
      <c r="DW202" s="57"/>
      <c r="DX202" s="57"/>
      <c r="DY202" s="57"/>
      <c r="DZ202" s="57"/>
      <c r="EA202" s="57"/>
      <c r="EB202" s="57"/>
      <c r="EC202" s="57"/>
      <c r="ED202" s="57"/>
      <c r="EE202" s="57"/>
      <c r="EF202" s="57"/>
      <c r="EG202" s="57"/>
      <c r="EH202" s="57"/>
      <c r="EI202" s="57"/>
      <c r="EJ202" s="57"/>
      <c r="EK202" s="57"/>
      <c r="EL202" s="57"/>
      <c r="EM202" s="57"/>
      <c r="EN202" s="57"/>
      <c r="EO202" s="57"/>
      <c r="EP202" s="57"/>
      <c r="EQ202" s="57"/>
      <c r="ER202" s="57"/>
      <c r="ES202" s="57"/>
      <c r="ET202" s="57"/>
      <c r="EU202" s="57"/>
    </row>
    <row r="203" spans="1:151" s="90" customFormat="1">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c r="DZ203" s="57"/>
      <c r="EA203" s="57"/>
      <c r="EB203" s="57"/>
      <c r="EC203" s="57"/>
      <c r="ED203" s="57"/>
      <c r="EE203" s="57"/>
      <c r="EF203" s="57"/>
      <c r="EG203" s="57"/>
      <c r="EH203" s="57"/>
      <c r="EI203" s="57"/>
      <c r="EJ203" s="57"/>
      <c r="EK203" s="57"/>
      <c r="EL203" s="57"/>
      <c r="EM203" s="57"/>
      <c r="EN203" s="57"/>
      <c r="EO203" s="57"/>
      <c r="EP203" s="57"/>
      <c r="EQ203" s="57"/>
      <c r="ER203" s="57"/>
      <c r="ES203" s="57"/>
      <c r="ET203" s="57"/>
      <c r="EU203" s="57"/>
    </row>
    <row r="204" spans="1:151" s="90" customFormat="1">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c r="EA204" s="57"/>
      <c r="EB204" s="57"/>
      <c r="EC204" s="57"/>
      <c r="ED204" s="57"/>
      <c r="EE204" s="57"/>
      <c r="EF204" s="57"/>
      <c r="EG204" s="57"/>
      <c r="EH204" s="57"/>
      <c r="EI204" s="57"/>
      <c r="EJ204" s="57"/>
      <c r="EK204" s="57"/>
      <c r="EL204" s="57"/>
      <c r="EM204" s="57"/>
      <c r="EN204" s="57"/>
      <c r="EO204" s="57"/>
      <c r="EP204" s="57"/>
      <c r="EQ204" s="57"/>
      <c r="ER204" s="57"/>
      <c r="ES204" s="57"/>
      <c r="ET204" s="57"/>
      <c r="EU204" s="57"/>
    </row>
    <row r="205" spans="1:151" s="90" customFormat="1">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DP205" s="57"/>
      <c r="DQ205" s="57"/>
      <c r="DR205" s="57"/>
      <c r="DS205" s="57"/>
      <c r="DT205" s="57"/>
      <c r="DU205" s="57"/>
      <c r="DV205" s="57"/>
      <c r="DW205" s="57"/>
      <c r="DX205" s="57"/>
      <c r="DY205" s="57"/>
      <c r="DZ205" s="57"/>
      <c r="EA205" s="57"/>
      <c r="EB205" s="57"/>
      <c r="EC205" s="57"/>
      <c r="ED205" s="57"/>
      <c r="EE205" s="57"/>
      <c r="EF205" s="57"/>
      <c r="EG205" s="57"/>
      <c r="EH205" s="57"/>
      <c r="EI205" s="57"/>
      <c r="EJ205" s="57"/>
      <c r="EK205" s="57"/>
      <c r="EL205" s="57"/>
      <c r="EM205" s="57"/>
      <c r="EN205" s="57"/>
      <c r="EO205" s="57"/>
      <c r="EP205" s="57"/>
      <c r="EQ205" s="57"/>
      <c r="ER205" s="57"/>
      <c r="ES205" s="57"/>
      <c r="ET205" s="57"/>
      <c r="EU205" s="57"/>
    </row>
    <row r="206" spans="1:151" s="90" customFormat="1">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c r="DZ206" s="57"/>
      <c r="EA206" s="57"/>
      <c r="EB206" s="57"/>
      <c r="EC206" s="57"/>
      <c r="ED206" s="57"/>
      <c r="EE206" s="57"/>
      <c r="EF206" s="57"/>
      <c r="EG206" s="57"/>
      <c r="EH206" s="57"/>
      <c r="EI206" s="57"/>
      <c r="EJ206" s="57"/>
      <c r="EK206" s="57"/>
      <c r="EL206" s="57"/>
      <c r="EM206" s="57"/>
      <c r="EN206" s="57"/>
      <c r="EO206" s="57"/>
      <c r="EP206" s="57"/>
      <c r="EQ206" s="57"/>
      <c r="ER206" s="57"/>
      <c r="ES206" s="57"/>
      <c r="ET206" s="57"/>
      <c r="EU206" s="57"/>
    </row>
    <row r="207" spans="1:151" s="90" customFormat="1">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57"/>
      <c r="DZ207" s="57"/>
      <c r="EA207" s="57"/>
      <c r="EB207" s="57"/>
      <c r="EC207" s="57"/>
      <c r="ED207" s="57"/>
      <c r="EE207" s="57"/>
      <c r="EF207" s="57"/>
      <c r="EG207" s="57"/>
      <c r="EH207" s="57"/>
      <c r="EI207" s="57"/>
      <c r="EJ207" s="57"/>
      <c r="EK207" s="57"/>
      <c r="EL207" s="57"/>
      <c r="EM207" s="57"/>
      <c r="EN207" s="57"/>
      <c r="EO207" s="57"/>
      <c r="EP207" s="57"/>
      <c r="EQ207" s="57"/>
      <c r="ER207" s="57"/>
      <c r="ES207" s="57"/>
      <c r="ET207" s="57"/>
      <c r="EU207" s="57"/>
    </row>
    <row r="208" spans="1:151" s="90" customFormat="1">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57"/>
      <c r="DZ208" s="57"/>
      <c r="EA208" s="57"/>
      <c r="EB208" s="57"/>
      <c r="EC208" s="57"/>
      <c r="ED208" s="57"/>
      <c r="EE208" s="57"/>
      <c r="EF208" s="57"/>
      <c r="EG208" s="57"/>
      <c r="EH208" s="57"/>
      <c r="EI208" s="57"/>
      <c r="EJ208" s="57"/>
      <c r="EK208" s="57"/>
      <c r="EL208" s="57"/>
      <c r="EM208" s="57"/>
      <c r="EN208" s="57"/>
      <c r="EO208" s="57"/>
      <c r="EP208" s="57"/>
      <c r="EQ208" s="57"/>
      <c r="ER208" s="57"/>
      <c r="ES208" s="57"/>
      <c r="ET208" s="57"/>
      <c r="EU208" s="57"/>
    </row>
    <row r="209" spans="29:151" s="90" customFormat="1">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DP209" s="57"/>
      <c r="DQ209" s="57"/>
      <c r="DR209" s="57"/>
      <c r="DS209" s="57"/>
      <c r="DT209" s="57"/>
      <c r="DU209" s="57"/>
      <c r="DV209" s="57"/>
      <c r="DW209" s="57"/>
      <c r="DX209" s="57"/>
      <c r="DY209" s="57"/>
      <c r="DZ209" s="57"/>
      <c r="EA209" s="57"/>
      <c r="EB209" s="57"/>
      <c r="EC209" s="57"/>
      <c r="ED209" s="57"/>
      <c r="EE209" s="57"/>
      <c r="EF209" s="57"/>
      <c r="EG209" s="57"/>
      <c r="EH209" s="57"/>
      <c r="EI209" s="57"/>
      <c r="EJ209" s="57"/>
      <c r="EK209" s="57"/>
      <c r="EL209" s="57"/>
      <c r="EM209" s="57"/>
      <c r="EN209" s="57"/>
      <c r="EO209" s="57"/>
      <c r="EP209" s="57"/>
      <c r="EQ209" s="57"/>
      <c r="ER209" s="57"/>
      <c r="ES209" s="57"/>
      <c r="ET209" s="57"/>
      <c r="EU209" s="57"/>
    </row>
    <row r="210" spans="29:151" s="90" customFormat="1">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DP210" s="57"/>
      <c r="DQ210" s="57"/>
      <c r="DR210" s="57"/>
      <c r="DS210" s="57"/>
      <c r="DT210" s="57"/>
      <c r="DU210" s="57"/>
      <c r="DV210" s="57"/>
      <c r="DW210" s="57"/>
      <c r="DX210" s="57"/>
      <c r="DY210" s="57"/>
      <c r="DZ210" s="57"/>
      <c r="EA210" s="57"/>
      <c r="EB210" s="57"/>
      <c r="EC210" s="57"/>
      <c r="ED210" s="57"/>
      <c r="EE210" s="57"/>
      <c r="EF210" s="57"/>
      <c r="EG210" s="57"/>
      <c r="EH210" s="57"/>
      <c r="EI210" s="57"/>
      <c r="EJ210" s="57"/>
      <c r="EK210" s="57"/>
      <c r="EL210" s="57"/>
      <c r="EM210" s="57"/>
      <c r="EN210" s="57"/>
      <c r="EO210" s="57"/>
      <c r="EP210" s="57"/>
      <c r="EQ210" s="57"/>
      <c r="ER210" s="57"/>
      <c r="ES210" s="57"/>
      <c r="ET210" s="57"/>
      <c r="EU210" s="57"/>
    </row>
    <row r="211" spans="29:151" s="90" customFormat="1">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c r="EB211" s="57"/>
      <c r="EC211" s="57"/>
      <c r="ED211" s="57"/>
      <c r="EE211" s="57"/>
      <c r="EF211" s="57"/>
      <c r="EG211" s="57"/>
      <c r="EH211" s="57"/>
      <c r="EI211" s="57"/>
      <c r="EJ211" s="57"/>
      <c r="EK211" s="57"/>
      <c r="EL211" s="57"/>
      <c r="EM211" s="57"/>
      <c r="EN211" s="57"/>
      <c r="EO211" s="57"/>
      <c r="EP211" s="57"/>
      <c r="EQ211" s="57"/>
      <c r="ER211" s="57"/>
      <c r="ES211" s="57"/>
      <c r="ET211" s="57"/>
      <c r="EU211" s="57"/>
    </row>
    <row r="212" spans="29:151" s="90" customFormat="1">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c r="DZ212" s="57"/>
      <c r="EA212" s="57"/>
      <c r="EB212" s="57"/>
      <c r="EC212" s="57"/>
      <c r="ED212" s="57"/>
      <c r="EE212" s="57"/>
      <c r="EF212" s="57"/>
      <c r="EG212" s="57"/>
      <c r="EH212" s="57"/>
      <c r="EI212" s="57"/>
      <c r="EJ212" s="57"/>
      <c r="EK212" s="57"/>
      <c r="EL212" s="57"/>
      <c r="EM212" s="57"/>
      <c r="EN212" s="57"/>
      <c r="EO212" s="57"/>
      <c r="EP212" s="57"/>
      <c r="EQ212" s="57"/>
      <c r="ER212" s="57"/>
      <c r="ES212" s="57"/>
      <c r="ET212" s="57"/>
      <c r="EU212" s="57"/>
    </row>
    <row r="213" spans="29:151" s="90" customFormat="1">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DP213" s="57"/>
      <c r="DQ213" s="57"/>
      <c r="DR213" s="57"/>
      <c r="DS213" s="57"/>
      <c r="DT213" s="57"/>
      <c r="DU213" s="57"/>
      <c r="DV213" s="57"/>
      <c r="DW213" s="57"/>
      <c r="DX213" s="57"/>
      <c r="DY213" s="57"/>
      <c r="DZ213" s="57"/>
      <c r="EA213" s="57"/>
      <c r="EB213" s="57"/>
      <c r="EC213" s="57"/>
      <c r="ED213" s="57"/>
      <c r="EE213" s="57"/>
      <c r="EF213" s="57"/>
      <c r="EG213" s="57"/>
      <c r="EH213" s="57"/>
      <c r="EI213" s="57"/>
      <c r="EJ213" s="57"/>
      <c r="EK213" s="57"/>
      <c r="EL213" s="57"/>
      <c r="EM213" s="57"/>
      <c r="EN213" s="57"/>
      <c r="EO213" s="57"/>
      <c r="EP213" s="57"/>
      <c r="EQ213" s="57"/>
      <c r="ER213" s="57"/>
      <c r="ES213" s="57"/>
      <c r="ET213" s="57"/>
      <c r="EU213" s="57"/>
    </row>
    <row r="214" spans="29:151" s="90" customFormat="1">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DP214" s="57"/>
      <c r="DQ214" s="57"/>
      <c r="DR214" s="57"/>
      <c r="DS214" s="57"/>
      <c r="DT214" s="57"/>
      <c r="DU214" s="57"/>
      <c r="DV214" s="57"/>
      <c r="DW214" s="57"/>
      <c r="DX214" s="57"/>
      <c r="DY214" s="57"/>
      <c r="DZ214" s="57"/>
      <c r="EA214" s="57"/>
      <c r="EB214" s="57"/>
      <c r="EC214" s="57"/>
      <c r="ED214" s="57"/>
      <c r="EE214" s="57"/>
      <c r="EF214" s="57"/>
      <c r="EG214" s="57"/>
      <c r="EH214" s="57"/>
      <c r="EI214" s="57"/>
      <c r="EJ214" s="57"/>
      <c r="EK214" s="57"/>
      <c r="EL214" s="57"/>
      <c r="EM214" s="57"/>
      <c r="EN214" s="57"/>
      <c r="EO214" s="57"/>
      <c r="EP214" s="57"/>
      <c r="EQ214" s="57"/>
      <c r="ER214" s="57"/>
      <c r="ES214" s="57"/>
      <c r="ET214" s="57"/>
      <c r="EU214" s="57"/>
    </row>
    <row r="215" spans="29:151" s="90" customFormat="1">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7"/>
      <c r="BN215" s="57"/>
      <c r="BO215" s="57"/>
      <c r="BP215" s="57"/>
      <c r="BQ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DP215" s="57"/>
      <c r="DQ215" s="57"/>
      <c r="DR215" s="57"/>
      <c r="DS215" s="57"/>
      <c r="DT215" s="57"/>
      <c r="DU215" s="57"/>
      <c r="DV215" s="57"/>
      <c r="DW215" s="57"/>
      <c r="DX215" s="57"/>
      <c r="DY215" s="57"/>
      <c r="DZ215" s="57"/>
      <c r="EA215" s="57"/>
      <c r="EB215" s="57"/>
      <c r="EC215" s="57"/>
      <c r="ED215" s="57"/>
      <c r="EE215" s="57"/>
      <c r="EF215" s="57"/>
      <c r="EG215" s="57"/>
      <c r="EH215" s="57"/>
      <c r="EI215" s="57"/>
      <c r="EJ215" s="57"/>
      <c r="EK215" s="57"/>
      <c r="EL215" s="57"/>
      <c r="EM215" s="57"/>
      <c r="EN215" s="57"/>
      <c r="EO215" s="57"/>
      <c r="EP215" s="57"/>
      <c r="EQ215" s="57"/>
      <c r="ER215" s="57"/>
      <c r="ES215" s="57"/>
      <c r="ET215" s="57"/>
      <c r="EU215" s="57"/>
    </row>
    <row r="216" spans="29:151" s="90" customFormat="1">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DP216" s="57"/>
      <c r="DQ216" s="57"/>
      <c r="DR216" s="57"/>
      <c r="DS216" s="57"/>
      <c r="DT216" s="57"/>
      <c r="DU216" s="57"/>
      <c r="DV216" s="57"/>
      <c r="DW216" s="57"/>
      <c r="DX216" s="57"/>
      <c r="DY216" s="57"/>
      <c r="DZ216" s="57"/>
      <c r="EA216" s="57"/>
      <c r="EB216" s="57"/>
      <c r="EC216" s="57"/>
      <c r="ED216" s="57"/>
      <c r="EE216" s="57"/>
      <c r="EF216" s="57"/>
      <c r="EG216" s="57"/>
      <c r="EH216" s="57"/>
      <c r="EI216" s="57"/>
      <c r="EJ216" s="57"/>
      <c r="EK216" s="57"/>
      <c r="EL216" s="57"/>
      <c r="EM216" s="57"/>
      <c r="EN216" s="57"/>
      <c r="EO216" s="57"/>
      <c r="EP216" s="57"/>
      <c r="EQ216" s="57"/>
      <c r="ER216" s="57"/>
      <c r="ES216" s="57"/>
      <c r="ET216" s="57"/>
      <c r="EU216" s="57"/>
    </row>
    <row r="217" spans="29:151" s="90" customFormat="1">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row>
    <row r="218" spans="29:151" s="90" customFormat="1">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row>
    <row r="219" spans="29:151" s="90" customFormat="1">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row>
    <row r="220" spans="29:151" s="90" customFormat="1">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row>
    <row r="221" spans="29:151" s="90" customFormat="1">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row>
    <row r="222" spans="29:151" s="90" customFormat="1">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row>
    <row r="223" spans="29:151" s="90" customFormat="1">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row>
    <row r="224" spans="29:151" s="90" customFormat="1">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c r="EB224" s="57"/>
      <c r="EC224" s="57"/>
      <c r="ED224" s="57"/>
      <c r="EE224" s="57"/>
      <c r="EF224" s="57"/>
      <c r="EG224" s="57"/>
      <c r="EH224" s="57"/>
      <c r="EI224" s="57"/>
      <c r="EJ224" s="57"/>
      <c r="EK224" s="57"/>
      <c r="EL224" s="57"/>
      <c r="EM224" s="57"/>
      <c r="EN224" s="57"/>
      <c r="EO224" s="57"/>
      <c r="EP224" s="57"/>
      <c r="EQ224" s="57"/>
      <c r="ER224" s="57"/>
      <c r="ES224" s="57"/>
      <c r="ET224" s="57"/>
      <c r="EU224" s="57"/>
    </row>
    <row r="225" spans="29:151" s="90" customFormat="1">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row>
    <row r="226" spans="29:151" s="90" customFormat="1">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7"/>
      <c r="EM226" s="57"/>
      <c r="EN226" s="57"/>
      <c r="EO226" s="57"/>
      <c r="EP226" s="57"/>
      <c r="EQ226" s="57"/>
      <c r="ER226" s="57"/>
      <c r="ES226" s="57"/>
      <c r="ET226" s="57"/>
      <c r="EU226" s="57"/>
    </row>
    <row r="227" spans="29:151" s="90" customFormat="1">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c r="EB227" s="57"/>
      <c r="EC227" s="57"/>
      <c r="ED227" s="57"/>
      <c r="EE227" s="57"/>
      <c r="EF227" s="57"/>
      <c r="EG227" s="57"/>
      <c r="EH227" s="57"/>
      <c r="EI227" s="57"/>
      <c r="EJ227" s="57"/>
      <c r="EK227" s="57"/>
      <c r="EL227" s="57"/>
      <c r="EM227" s="57"/>
      <c r="EN227" s="57"/>
      <c r="EO227" s="57"/>
      <c r="EP227" s="57"/>
      <c r="EQ227" s="57"/>
      <c r="ER227" s="57"/>
      <c r="ES227" s="57"/>
      <c r="ET227" s="57"/>
      <c r="EU227" s="57"/>
    </row>
    <row r="228" spans="29:151" s="90" customFormat="1">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c r="EB228" s="57"/>
      <c r="EC228" s="57"/>
      <c r="ED228" s="57"/>
      <c r="EE228" s="57"/>
      <c r="EF228" s="57"/>
      <c r="EG228" s="57"/>
      <c r="EH228" s="57"/>
      <c r="EI228" s="57"/>
      <c r="EJ228" s="57"/>
      <c r="EK228" s="57"/>
      <c r="EL228" s="57"/>
      <c r="EM228" s="57"/>
      <c r="EN228" s="57"/>
      <c r="EO228" s="57"/>
      <c r="EP228" s="57"/>
      <c r="EQ228" s="57"/>
      <c r="ER228" s="57"/>
      <c r="ES228" s="57"/>
      <c r="ET228" s="57"/>
      <c r="EU228" s="57"/>
    </row>
    <row r="229" spans="29:151" s="90" customFormat="1">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c r="EB229" s="57"/>
      <c r="EC229" s="57"/>
      <c r="ED229" s="57"/>
      <c r="EE229" s="57"/>
      <c r="EF229" s="57"/>
      <c r="EG229" s="57"/>
      <c r="EH229" s="57"/>
      <c r="EI229" s="57"/>
      <c r="EJ229" s="57"/>
      <c r="EK229" s="57"/>
      <c r="EL229" s="57"/>
      <c r="EM229" s="57"/>
      <c r="EN229" s="57"/>
      <c r="EO229" s="57"/>
      <c r="EP229" s="57"/>
      <c r="EQ229" s="57"/>
      <c r="ER229" s="57"/>
      <c r="ES229" s="57"/>
      <c r="ET229" s="57"/>
      <c r="EU229" s="57"/>
    </row>
    <row r="230" spans="29:151" s="90" customFormat="1">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row>
    <row r="231" spans="29:151" s="90" customFormat="1">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row>
    <row r="232" spans="29:151" s="90" customFormat="1">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row>
    <row r="233" spans="29:151" s="90" customFormat="1">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row>
    <row r="234" spans="29:151" s="90" customFormat="1">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row>
    <row r="235" spans="29:151" s="90" customFormat="1">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row>
    <row r="236" spans="29:151" s="90" customFormat="1">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row>
    <row r="237" spans="29:151" s="90" customFormat="1">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row>
    <row r="238" spans="29:151" s="90" customFormat="1">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row>
    <row r="239" spans="29:151" s="90" customFormat="1">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57"/>
      <c r="EE239" s="57"/>
      <c r="EF239" s="57"/>
      <c r="EG239" s="57"/>
      <c r="EH239" s="57"/>
      <c r="EI239" s="57"/>
      <c r="EJ239" s="57"/>
      <c r="EK239" s="57"/>
      <c r="EL239" s="57"/>
      <c r="EM239" s="57"/>
      <c r="EN239" s="57"/>
      <c r="EO239" s="57"/>
      <c r="EP239" s="57"/>
      <c r="EQ239" s="57"/>
      <c r="ER239" s="57"/>
      <c r="ES239" s="57"/>
      <c r="ET239" s="57"/>
      <c r="EU239" s="57"/>
    </row>
    <row r="240" spans="29:151" s="90" customFormat="1">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row>
    <row r="241" spans="29:151" s="90" customFormat="1">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row>
    <row r="242" spans="29:151" s="90" customFormat="1">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row>
    <row r="243" spans="29:151" s="90" customFormat="1">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row>
    <row r="244" spans="29:151" s="90" customFormat="1">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row>
    <row r="245" spans="29:151" s="90" customFormat="1">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row>
    <row r="246" spans="29:151" s="90" customFormat="1">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row>
    <row r="247" spans="29:151" s="90" customFormat="1">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row>
    <row r="248" spans="29:151" s="90" customFormat="1">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row>
    <row r="249" spans="29:151" s="90" customFormat="1">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57"/>
      <c r="EE249" s="57"/>
      <c r="EF249" s="57"/>
      <c r="EG249" s="57"/>
      <c r="EH249" s="57"/>
      <c r="EI249" s="57"/>
      <c r="EJ249" s="57"/>
      <c r="EK249" s="57"/>
      <c r="EL249" s="57"/>
      <c r="EM249" s="57"/>
      <c r="EN249" s="57"/>
      <c r="EO249" s="57"/>
      <c r="EP249" s="57"/>
      <c r="EQ249" s="57"/>
      <c r="ER249" s="57"/>
      <c r="ES249" s="57"/>
      <c r="ET249" s="57"/>
      <c r="EU249" s="57"/>
    </row>
    <row r="250" spans="29:151" s="90" customFormat="1">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row>
    <row r="251" spans="29:151" s="90" customFormat="1">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row>
    <row r="252" spans="29:151" s="90" customFormat="1">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row>
    <row r="253" spans="29:151" s="90" customFormat="1">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c r="EB253" s="57"/>
      <c r="EC253" s="57"/>
      <c r="ED253" s="57"/>
      <c r="EE253" s="57"/>
      <c r="EF253" s="57"/>
      <c r="EG253" s="57"/>
      <c r="EH253" s="57"/>
      <c r="EI253" s="57"/>
      <c r="EJ253" s="57"/>
      <c r="EK253" s="57"/>
      <c r="EL253" s="57"/>
      <c r="EM253" s="57"/>
      <c r="EN253" s="57"/>
      <c r="EO253" s="57"/>
      <c r="EP253" s="57"/>
      <c r="EQ253" s="57"/>
      <c r="ER253" s="57"/>
      <c r="ES253" s="57"/>
      <c r="ET253" s="57"/>
      <c r="EU253" s="57"/>
    </row>
    <row r="254" spans="29:151" s="90" customFormat="1">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57"/>
      <c r="EE254" s="57"/>
      <c r="EF254" s="57"/>
      <c r="EG254" s="57"/>
      <c r="EH254" s="57"/>
      <c r="EI254" s="57"/>
      <c r="EJ254" s="57"/>
      <c r="EK254" s="57"/>
      <c r="EL254" s="57"/>
      <c r="EM254" s="57"/>
      <c r="EN254" s="57"/>
      <c r="EO254" s="57"/>
      <c r="EP254" s="57"/>
      <c r="EQ254" s="57"/>
      <c r="ER254" s="57"/>
      <c r="ES254" s="57"/>
      <c r="ET254" s="57"/>
      <c r="EU254" s="57"/>
    </row>
    <row r="255" spans="29:151" s="90" customFormat="1">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57"/>
      <c r="EE255" s="57"/>
      <c r="EF255" s="57"/>
      <c r="EG255" s="57"/>
      <c r="EH255" s="57"/>
      <c r="EI255" s="57"/>
      <c r="EJ255" s="57"/>
      <c r="EK255" s="57"/>
      <c r="EL255" s="57"/>
      <c r="EM255" s="57"/>
      <c r="EN255" s="57"/>
      <c r="EO255" s="57"/>
      <c r="EP255" s="57"/>
      <c r="EQ255" s="57"/>
      <c r="ER255" s="57"/>
      <c r="ES255" s="57"/>
      <c r="ET255" s="57"/>
      <c r="EU255" s="57"/>
    </row>
    <row r="256" spans="29:151" s="90" customFormat="1">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DP256" s="57"/>
      <c r="DQ256" s="57"/>
      <c r="DR256" s="57"/>
      <c r="DS256" s="57"/>
      <c r="DT256" s="57"/>
      <c r="DU256" s="57"/>
      <c r="DV256" s="57"/>
      <c r="DW256" s="57"/>
      <c r="DX256" s="57"/>
      <c r="DY256" s="57"/>
      <c r="DZ256" s="57"/>
      <c r="EA256" s="57"/>
      <c r="EB256" s="57"/>
      <c r="EC256" s="57"/>
      <c r="ED256" s="57"/>
      <c r="EE256" s="57"/>
      <c r="EF256" s="57"/>
      <c r="EG256" s="57"/>
      <c r="EH256" s="57"/>
      <c r="EI256" s="57"/>
      <c r="EJ256" s="57"/>
      <c r="EK256" s="57"/>
      <c r="EL256" s="57"/>
      <c r="EM256" s="57"/>
      <c r="EN256" s="57"/>
      <c r="EO256" s="57"/>
      <c r="EP256" s="57"/>
      <c r="EQ256" s="57"/>
      <c r="ER256" s="57"/>
      <c r="ES256" s="57"/>
      <c r="ET256" s="57"/>
      <c r="EU256" s="57"/>
    </row>
    <row r="257" spans="29:151" s="90" customFormat="1">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DP257" s="57"/>
      <c r="DQ257" s="57"/>
      <c r="DR257" s="57"/>
      <c r="DS257" s="57"/>
      <c r="DT257" s="57"/>
      <c r="DU257" s="57"/>
      <c r="DV257" s="57"/>
      <c r="DW257" s="57"/>
      <c r="DX257" s="57"/>
      <c r="DY257" s="57"/>
      <c r="DZ257" s="57"/>
      <c r="EA257" s="57"/>
      <c r="EB257" s="57"/>
      <c r="EC257" s="57"/>
      <c r="ED257" s="57"/>
      <c r="EE257" s="57"/>
      <c r="EF257" s="57"/>
      <c r="EG257" s="57"/>
      <c r="EH257" s="57"/>
      <c r="EI257" s="57"/>
      <c r="EJ257" s="57"/>
      <c r="EK257" s="57"/>
      <c r="EL257" s="57"/>
      <c r="EM257" s="57"/>
      <c r="EN257" s="57"/>
      <c r="EO257" s="57"/>
      <c r="EP257" s="57"/>
      <c r="EQ257" s="57"/>
      <c r="ER257" s="57"/>
      <c r="ES257" s="57"/>
      <c r="ET257" s="57"/>
      <c r="EU257" s="57"/>
    </row>
    <row r="258" spans="29:151" s="90" customFormat="1">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57"/>
      <c r="EE258" s="57"/>
      <c r="EF258" s="57"/>
      <c r="EG258" s="57"/>
      <c r="EH258" s="57"/>
      <c r="EI258" s="57"/>
      <c r="EJ258" s="57"/>
      <c r="EK258" s="57"/>
      <c r="EL258" s="57"/>
      <c r="EM258" s="57"/>
      <c r="EN258" s="57"/>
      <c r="EO258" s="57"/>
      <c r="EP258" s="57"/>
      <c r="EQ258" s="57"/>
      <c r="ER258" s="57"/>
      <c r="ES258" s="57"/>
      <c r="ET258" s="57"/>
      <c r="EU258" s="57"/>
    </row>
    <row r="259" spans="29:151" s="90" customFormat="1">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c r="DZ259" s="57"/>
      <c r="EA259" s="57"/>
      <c r="EB259" s="57"/>
      <c r="EC259" s="57"/>
      <c r="ED259" s="57"/>
      <c r="EE259" s="57"/>
      <c r="EF259" s="57"/>
      <c r="EG259" s="57"/>
      <c r="EH259" s="57"/>
      <c r="EI259" s="57"/>
      <c r="EJ259" s="57"/>
      <c r="EK259" s="57"/>
      <c r="EL259" s="57"/>
      <c r="EM259" s="57"/>
      <c r="EN259" s="57"/>
      <c r="EO259" s="57"/>
      <c r="EP259" s="57"/>
      <c r="EQ259" s="57"/>
      <c r="ER259" s="57"/>
      <c r="ES259" s="57"/>
      <c r="ET259" s="57"/>
      <c r="EU259" s="57"/>
    </row>
    <row r="260" spans="29:151" s="90" customFormat="1">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row>
    <row r="261" spans="29:151" s="90" customFormat="1">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row>
    <row r="262" spans="29:151" s="90" customFormat="1">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57"/>
      <c r="EE262" s="57"/>
      <c r="EF262" s="57"/>
      <c r="EG262" s="57"/>
      <c r="EH262" s="57"/>
      <c r="EI262" s="57"/>
      <c r="EJ262" s="57"/>
      <c r="EK262" s="57"/>
      <c r="EL262" s="57"/>
      <c r="EM262" s="57"/>
      <c r="EN262" s="57"/>
      <c r="EO262" s="57"/>
      <c r="EP262" s="57"/>
      <c r="EQ262" s="57"/>
      <c r="ER262" s="57"/>
      <c r="ES262" s="57"/>
      <c r="ET262" s="57"/>
      <c r="EU262" s="57"/>
    </row>
    <row r="263" spans="29:151" s="90" customFormat="1">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57"/>
      <c r="EE263" s="57"/>
      <c r="EF263" s="57"/>
      <c r="EG263" s="57"/>
      <c r="EH263" s="57"/>
      <c r="EI263" s="57"/>
      <c r="EJ263" s="57"/>
      <c r="EK263" s="57"/>
      <c r="EL263" s="57"/>
      <c r="EM263" s="57"/>
      <c r="EN263" s="57"/>
      <c r="EO263" s="57"/>
      <c r="EP263" s="57"/>
      <c r="EQ263" s="57"/>
      <c r="ER263" s="57"/>
      <c r="ES263" s="57"/>
      <c r="ET263" s="57"/>
      <c r="EU263" s="57"/>
    </row>
    <row r="264" spans="29:151" s="90" customFormat="1">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c r="EB264" s="57"/>
      <c r="EC264" s="57"/>
      <c r="ED264" s="57"/>
      <c r="EE264" s="57"/>
      <c r="EF264" s="57"/>
      <c r="EG264" s="57"/>
      <c r="EH264" s="57"/>
      <c r="EI264" s="57"/>
      <c r="EJ264" s="57"/>
      <c r="EK264" s="57"/>
      <c r="EL264" s="57"/>
      <c r="EM264" s="57"/>
      <c r="EN264" s="57"/>
      <c r="EO264" s="57"/>
      <c r="EP264" s="57"/>
      <c r="EQ264" s="57"/>
      <c r="ER264" s="57"/>
      <c r="ES264" s="57"/>
      <c r="ET264" s="57"/>
      <c r="EU264" s="57"/>
    </row>
    <row r="265" spans="29:151" s="90" customFormat="1">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row>
    <row r="266" spans="29:151" s="90" customFormat="1">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row>
    <row r="267" spans="29:151" s="90" customFormat="1">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c r="DZ267" s="57"/>
      <c r="EA267" s="57"/>
      <c r="EB267" s="57"/>
      <c r="EC267" s="57"/>
      <c r="ED267" s="57"/>
      <c r="EE267" s="57"/>
      <c r="EF267" s="57"/>
      <c r="EG267" s="57"/>
      <c r="EH267" s="57"/>
      <c r="EI267" s="57"/>
      <c r="EJ267" s="57"/>
      <c r="EK267" s="57"/>
      <c r="EL267" s="57"/>
      <c r="EM267" s="57"/>
      <c r="EN267" s="57"/>
      <c r="EO267" s="57"/>
      <c r="EP267" s="57"/>
      <c r="EQ267" s="57"/>
      <c r="ER267" s="57"/>
      <c r="ES267" s="57"/>
      <c r="ET267" s="57"/>
      <c r="EU267" s="57"/>
    </row>
    <row r="268" spans="29:151" s="90" customFormat="1">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DP268" s="57"/>
      <c r="DQ268" s="57"/>
      <c r="DR268" s="57"/>
      <c r="DS268" s="57"/>
      <c r="DT268" s="57"/>
      <c r="DU268" s="57"/>
      <c r="DV268" s="57"/>
      <c r="DW268" s="57"/>
      <c r="DX268" s="57"/>
      <c r="DY268" s="57"/>
      <c r="DZ268" s="57"/>
      <c r="EA268" s="57"/>
      <c r="EB268" s="57"/>
      <c r="EC268" s="57"/>
      <c r="ED268" s="57"/>
      <c r="EE268" s="57"/>
      <c r="EF268" s="57"/>
      <c r="EG268" s="57"/>
      <c r="EH268" s="57"/>
      <c r="EI268" s="57"/>
      <c r="EJ268" s="57"/>
      <c r="EK268" s="57"/>
      <c r="EL268" s="57"/>
      <c r="EM268" s="57"/>
      <c r="EN268" s="57"/>
      <c r="EO268" s="57"/>
      <c r="EP268" s="57"/>
      <c r="EQ268" s="57"/>
      <c r="ER268" s="57"/>
      <c r="ES268" s="57"/>
      <c r="ET268" s="57"/>
      <c r="EU268" s="57"/>
    </row>
    <row r="269" spans="29:151" s="90" customFormat="1">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DP269" s="57"/>
      <c r="DQ269" s="57"/>
      <c r="DR269" s="57"/>
      <c r="DS269" s="57"/>
      <c r="DT269" s="57"/>
      <c r="DU269" s="57"/>
      <c r="DV269" s="57"/>
      <c r="DW269" s="57"/>
      <c r="DX269" s="57"/>
      <c r="DY269" s="57"/>
      <c r="DZ269" s="57"/>
      <c r="EA269" s="57"/>
      <c r="EB269" s="57"/>
      <c r="EC269" s="57"/>
      <c r="ED269" s="57"/>
      <c r="EE269" s="57"/>
      <c r="EF269" s="57"/>
      <c r="EG269" s="57"/>
      <c r="EH269" s="57"/>
      <c r="EI269" s="57"/>
      <c r="EJ269" s="57"/>
      <c r="EK269" s="57"/>
      <c r="EL269" s="57"/>
      <c r="EM269" s="57"/>
      <c r="EN269" s="57"/>
      <c r="EO269" s="57"/>
      <c r="EP269" s="57"/>
      <c r="EQ269" s="57"/>
      <c r="ER269" s="57"/>
      <c r="ES269" s="57"/>
      <c r="ET269" s="57"/>
      <c r="EU269" s="57"/>
    </row>
    <row r="270" spans="29:151" s="90" customFormat="1">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c r="EB270" s="57"/>
      <c r="EC270" s="57"/>
      <c r="ED270" s="57"/>
      <c r="EE270" s="57"/>
      <c r="EF270" s="57"/>
      <c r="EG270" s="57"/>
      <c r="EH270" s="57"/>
      <c r="EI270" s="57"/>
      <c r="EJ270" s="57"/>
      <c r="EK270" s="57"/>
      <c r="EL270" s="57"/>
      <c r="EM270" s="57"/>
      <c r="EN270" s="57"/>
      <c r="EO270" s="57"/>
      <c r="EP270" s="57"/>
      <c r="EQ270" s="57"/>
      <c r="ER270" s="57"/>
      <c r="ES270" s="57"/>
      <c r="ET270" s="57"/>
      <c r="EU270" s="57"/>
    </row>
    <row r="271" spans="29:151" s="90" customFormat="1">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row>
    <row r="272" spans="29:151" s="90" customFormat="1">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row>
    <row r="273" spans="29:151" s="90" customFormat="1">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row>
    <row r="274" spans="29:151" s="90" customFormat="1">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row>
    <row r="275" spans="29:151" s="90" customFormat="1">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row>
    <row r="276" spans="29:151" s="90" customFormat="1">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c r="DZ276" s="57"/>
      <c r="EA276" s="57"/>
      <c r="EB276" s="57"/>
      <c r="EC276" s="57"/>
      <c r="ED276" s="57"/>
      <c r="EE276" s="57"/>
      <c r="EF276" s="57"/>
      <c r="EG276" s="57"/>
      <c r="EH276" s="57"/>
      <c r="EI276" s="57"/>
      <c r="EJ276" s="57"/>
      <c r="EK276" s="57"/>
      <c r="EL276" s="57"/>
      <c r="EM276" s="57"/>
      <c r="EN276" s="57"/>
      <c r="EO276" s="57"/>
      <c r="EP276" s="57"/>
      <c r="EQ276" s="57"/>
      <c r="ER276" s="57"/>
      <c r="ES276" s="57"/>
      <c r="ET276" s="57"/>
      <c r="EU276" s="57"/>
    </row>
    <row r="277" spans="29:151" s="90" customFormat="1">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DP277" s="57"/>
      <c r="DQ277" s="57"/>
      <c r="DR277" s="57"/>
      <c r="DS277" s="57"/>
      <c r="DT277" s="57"/>
      <c r="DU277" s="57"/>
      <c r="DV277" s="57"/>
      <c r="DW277" s="57"/>
      <c r="DX277" s="57"/>
      <c r="DY277" s="57"/>
      <c r="DZ277" s="57"/>
      <c r="EA277" s="57"/>
      <c r="EB277" s="57"/>
      <c r="EC277" s="57"/>
      <c r="ED277" s="57"/>
      <c r="EE277" s="57"/>
      <c r="EF277" s="57"/>
      <c r="EG277" s="57"/>
      <c r="EH277" s="57"/>
      <c r="EI277" s="57"/>
      <c r="EJ277" s="57"/>
      <c r="EK277" s="57"/>
      <c r="EL277" s="57"/>
      <c r="EM277" s="57"/>
      <c r="EN277" s="57"/>
      <c r="EO277" s="57"/>
      <c r="EP277" s="57"/>
      <c r="EQ277" s="57"/>
      <c r="ER277" s="57"/>
      <c r="ES277" s="57"/>
      <c r="ET277" s="57"/>
      <c r="EU277" s="57"/>
    </row>
    <row r="278" spans="29:151" s="90" customFormat="1">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c r="EA278" s="57"/>
      <c r="EB278" s="57"/>
      <c r="EC278" s="57"/>
      <c r="ED278" s="57"/>
      <c r="EE278" s="57"/>
      <c r="EF278" s="57"/>
      <c r="EG278" s="57"/>
      <c r="EH278" s="57"/>
      <c r="EI278" s="57"/>
      <c r="EJ278" s="57"/>
      <c r="EK278" s="57"/>
      <c r="EL278" s="57"/>
      <c r="EM278" s="57"/>
      <c r="EN278" s="57"/>
      <c r="EO278" s="57"/>
      <c r="EP278" s="57"/>
      <c r="EQ278" s="57"/>
      <c r="ER278" s="57"/>
      <c r="ES278" s="57"/>
      <c r="ET278" s="57"/>
      <c r="EU278" s="57"/>
    </row>
    <row r="279" spans="29:151" s="90" customFormat="1">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57"/>
      <c r="EE279" s="57"/>
      <c r="EF279" s="57"/>
      <c r="EG279" s="57"/>
      <c r="EH279" s="57"/>
      <c r="EI279" s="57"/>
      <c r="EJ279" s="57"/>
      <c r="EK279" s="57"/>
      <c r="EL279" s="57"/>
      <c r="EM279" s="57"/>
      <c r="EN279" s="57"/>
      <c r="EO279" s="57"/>
      <c r="EP279" s="57"/>
      <c r="EQ279" s="57"/>
      <c r="ER279" s="57"/>
      <c r="ES279" s="57"/>
      <c r="ET279" s="57"/>
      <c r="EU279" s="57"/>
    </row>
    <row r="280" spans="29:151" s="90" customFormat="1">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DP280" s="57"/>
      <c r="DQ280" s="57"/>
      <c r="DR280" s="57"/>
      <c r="DS280" s="57"/>
      <c r="DT280" s="57"/>
      <c r="DU280" s="57"/>
      <c r="DV280" s="57"/>
      <c r="DW280" s="57"/>
      <c r="DX280" s="57"/>
      <c r="DY280" s="57"/>
      <c r="DZ280" s="57"/>
      <c r="EA280" s="57"/>
      <c r="EB280" s="57"/>
      <c r="EC280" s="57"/>
      <c r="ED280" s="57"/>
      <c r="EE280" s="57"/>
      <c r="EF280" s="57"/>
      <c r="EG280" s="57"/>
      <c r="EH280" s="57"/>
      <c r="EI280" s="57"/>
      <c r="EJ280" s="57"/>
      <c r="EK280" s="57"/>
      <c r="EL280" s="57"/>
      <c r="EM280" s="57"/>
      <c r="EN280" s="57"/>
      <c r="EO280" s="57"/>
      <c r="EP280" s="57"/>
      <c r="EQ280" s="57"/>
      <c r="ER280" s="57"/>
      <c r="ES280" s="57"/>
      <c r="ET280" s="57"/>
      <c r="EU280" s="57"/>
    </row>
    <row r="281" spans="29:151" s="90" customFormat="1">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c r="DZ281" s="57"/>
      <c r="EA281" s="57"/>
      <c r="EB281" s="57"/>
      <c r="EC281" s="57"/>
      <c r="ED281" s="57"/>
      <c r="EE281" s="57"/>
      <c r="EF281" s="57"/>
      <c r="EG281" s="57"/>
      <c r="EH281" s="57"/>
      <c r="EI281" s="57"/>
      <c r="EJ281" s="57"/>
      <c r="EK281" s="57"/>
      <c r="EL281" s="57"/>
      <c r="EM281" s="57"/>
      <c r="EN281" s="57"/>
      <c r="EO281" s="57"/>
      <c r="EP281" s="57"/>
      <c r="EQ281" s="57"/>
      <c r="ER281" s="57"/>
      <c r="ES281" s="57"/>
      <c r="ET281" s="57"/>
      <c r="EU281" s="57"/>
    </row>
    <row r="282" spans="29:151" s="90" customFormat="1">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DP282" s="57"/>
      <c r="DQ282" s="57"/>
      <c r="DR282" s="57"/>
      <c r="DS282" s="57"/>
      <c r="DT282" s="57"/>
      <c r="DU282" s="57"/>
      <c r="DV282" s="57"/>
      <c r="DW282" s="57"/>
      <c r="DX282" s="57"/>
      <c r="DY282" s="57"/>
      <c r="DZ282" s="57"/>
      <c r="EA282" s="57"/>
      <c r="EB282" s="57"/>
      <c r="EC282" s="57"/>
      <c r="ED282" s="57"/>
      <c r="EE282" s="57"/>
      <c r="EF282" s="57"/>
      <c r="EG282" s="57"/>
      <c r="EH282" s="57"/>
      <c r="EI282" s="57"/>
      <c r="EJ282" s="57"/>
      <c r="EK282" s="57"/>
      <c r="EL282" s="57"/>
      <c r="EM282" s="57"/>
      <c r="EN282" s="57"/>
      <c r="EO282" s="57"/>
      <c r="EP282" s="57"/>
      <c r="EQ282" s="57"/>
      <c r="ER282" s="57"/>
      <c r="ES282" s="57"/>
      <c r="ET282" s="57"/>
      <c r="EU282" s="57"/>
    </row>
    <row r="283" spans="29:151" s="90" customFormat="1">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row>
    <row r="284" spans="29:151" s="90" customFormat="1">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row>
    <row r="285" spans="29:151" s="90" customFormat="1">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row>
    <row r="286" spans="29:151" s="90" customFormat="1">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row>
    <row r="287" spans="29:151" s="90" customFormat="1">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row>
    <row r="288" spans="29:151" s="90" customFormat="1">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c r="DZ288" s="57"/>
      <c r="EA288" s="57"/>
      <c r="EB288" s="57"/>
      <c r="EC288" s="57"/>
      <c r="ED288" s="57"/>
      <c r="EE288" s="57"/>
      <c r="EF288" s="57"/>
      <c r="EG288" s="57"/>
      <c r="EH288" s="57"/>
      <c r="EI288" s="57"/>
      <c r="EJ288" s="57"/>
      <c r="EK288" s="57"/>
      <c r="EL288" s="57"/>
      <c r="EM288" s="57"/>
      <c r="EN288" s="57"/>
      <c r="EO288" s="57"/>
      <c r="EP288" s="57"/>
      <c r="EQ288" s="57"/>
      <c r="ER288" s="57"/>
      <c r="ES288" s="57"/>
      <c r="ET288" s="57"/>
      <c r="EU288" s="57"/>
    </row>
    <row r="289" spans="29:151" s="90" customFormat="1">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DP289" s="57"/>
      <c r="DQ289" s="57"/>
      <c r="DR289" s="57"/>
      <c r="DS289" s="57"/>
      <c r="DT289" s="57"/>
      <c r="DU289" s="57"/>
      <c r="DV289" s="57"/>
      <c r="DW289" s="57"/>
      <c r="DX289" s="57"/>
      <c r="DY289" s="57"/>
      <c r="DZ289" s="57"/>
      <c r="EA289" s="57"/>
      <c r="EB289" s="57"/>
      <c r="EC289" s="57"/>
      <c r="ED289" s="57"/>
      <c r="EE289" s="57"/>
      <c r="EF289" s="57"/>
      <c r="EG289" s="57"/>
      <c r="EH289" s="57"/>
      <c r="EI289" s="57"/>
      <c r="EJ289" s="57"/>
      <c r="EK289" s="57"/>
      <c r="EL289" s="57"/>
      <c r="EM289" s="57"/>
      <c r="EN289" s="57"/>
      <c r="EO289" s="57"/>
      <c r="EP289" s="57"/>
      <c r="EQ289" s="57"/>
      <c r="ER289" s="57"/>
      <c r="ES289" s="57"/>
      <c r="ET289" s="57"/>
      <c r="EU289" s="57"/>
    </row>
    <row r="290" spans="29:151" s="90" customFormat="1">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DP290" s="57"/>
      <c r="DQ290" s="57"/>
      <c r="DR290" s="57"/>
      <c r="DS290" s="57"/>
      <c r="DT290" s="57"/>
      <c r="DU290" s="57"/>
      <c r="DV290" s="57"/>
      <c r="DW290" s="57"/>
      <c r="DX290" s="57"/>
      <c r="DY290" s="57"/>
      <c r="DZ290" s="57"/>
      <c r="EA290" s="57"/>
      <c r="EB290" s="57"/>
      <c r="EC290" s="57"/>
      <c r="ED290" s="57"/>
      <c r="EE290" s="57"/>
      <c r="EF290" s="57"/>
      <c r="EG290" s="57"/>
      <c r="EH290" s="57"/>
      <c r="EI290" s="57"/>
      <c r="EJ290" s="57"/>
      <c r="EK290" s="57"/>
      <c r="EL290" s="57"/>
      <c r="EM290" s="57"/>
      <c r="EN290" s="57"/>
      <c r="EO290" s="57"/>
      <c r="EP290" s="57"/>
      <c r="EQ290" s="57"/>
      <c r="ER290" s="57"/>
      <c r="ES290" s="57"/>
      <c r="ET290" s="57"/>
      <c r="EU290" s="57"/>
    </row>
    <row r="291" spans="29:151" s="90" customFormat="1">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c r="BN291" s="57"/>
      <c r="BO291" s="57"/>
      <c r="BP291" s="57"/>
      <c r="BQ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DP291" s="57"/>
      <c r="DQ291" s="57"/>
      <c r="DR291" s="57"/>
      <c r="DS291" s="57"/>
      <c r="DT291" s="57"/>
      <c r="DU291" s="57"/>
      <c r="DV291" s="57"/>
      <c r="DW291" s="57"/>
      <c r="DX291" s="57"/>
      <c r="DY291" s="57"/>
      <c r="DZ291" s="57"/>
      <c r="EA291" s="57"/>
      <c r="EB291" s="57"/>
      <c r="EC291" s="57"/>
      <c r="ED291" s="57"/>
      <c r="EE291" s="57"/>
      <c r="EF291" s="57"/>
      <c r="EG291" s="57"/>
      <c r="EH291" s="57"/>
      <c r="EI291" s="57"/>
      <c r="EJ291" s="57"/>
      <c r="EK291" s="57"/>
      <c r="EL291" s="57"/>
      <c r="EM291" s="57"/>
      <c r="EN291" s="57"/>
      <c r="EO291" s="57"/>
      <c r="EP291" s="57"/>
      <c r="EQ291" s="57"/>
      <c r="ER291" s="57"/>
      <c r="ES291" s="57"/>
      <c r="ET291" s="57"/>
      <c r="EU291" s="57"/>
    </row>
    <row r="292" spans="29:151" s="90" customFormat="1">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DP292" s="57"/>
      <c r="DQ292" s="57"/>
      <c r="DR292" s="57"/>
      <c r="DS292" s="57"/>
      <c r="DT292" s="57"/>
      <c r="DU292" s="57"/>
      <c r="DV292" s="57"/>
      <c r="DW292" s="57"/>
      <c r="DX292" s="57"/>
      <c r="DY292" s="57"/>
      <c r="DZ292" s="57"/>
      <c r="EA292" s="57"/>
      <c r="EB292" s="57"/>
      <c r="EC292" s="57"/>
      <c r="ED292" s="57"/>
      <c r="EE292" s="57"/>
      <c r="EF292" s="57"/>
      <c r="EG292" s="57"/>
      <c r="EH292" s="57"/>
      <c r="EI292" s="57"/>
      <c r="EJ292" s="57"/>
      <c r="EK292" s="57"/>
      <c r="EL292" s="57"/>
      <c r="EM292" s="57"/>
      <c r="EN292" s="57"/>
      <c r="EO292" s="57"/>
      <c r="EP292" s="57"/>
      <c r="EQ292" s="57"/>
      <c r="ER292" s="57"/>
      <c r="ES292" s="57"/>
      <c r="ET292" s="57"/>
      <c r="EU292" s="57"/>
    </row>
    <row r="293" spans="29:151" s="90" customFormat="1">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DP293" s="57"/>
      <c r="DQ293" s="57"/>
      <c r="DR293" s="57"/>
      <c r="DS293" s="57"/>
      <c r="DT293" s="57"/>
      <c r="DU293" s="57"/>
      <c r="DV293" s="57"/>
      <c r="DW293" s="57"/>
      <c r="DX293" s="57"/>
      <c r="DY293" s="57"/>
      <c r="DZ293" s="57"/>
      <c r="EA293" s="57"/>
      <c r="EB293" s="57"/>
      <c r="EC293" s="57"/>
      <c r="ED293" s="57"/>
      <c r="EE293" s="57"/>
      <c r="EF293" s="57"/>
      <c r="EG293" s="57"/>
      <c r="EH293" s="57"/>
      <c r="EI293" s="57"/>
      <c r="EJ293" s="57"/>
      <c r="EK293" s="57"/>
      <c r="EL293" s="57"/>
      <c r="EM293" s="57"/>
      <c r="EN293" s="57"/>
      <c r="EO293" s="57"/>
      <c r="EP293" s="57"/>
      <c r="EQ293" s="57"/>
      <c r="ER293" s="57"/>
      <c r="ES293" s="57"/>
      <c r="ET293" s="57"/>
      <c r="EU293" s="57"/>
    </row>
    <row r="294" spans="29:151" s="90" customFormat="1">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DP294" s="57"/>
      <c r="DQ294" s="57"/>
      <c r="DR294" s="57"/>
      <c r="DS294" s="57"/>
      <c r="DT294" s="57"/>
      <c r="DU294" s="57"/>
      <c r="DV294" s="57"/>
      <c r="DW294" s="57"/>
      <c r="DX294" s="57"/>
      <c r="DY294" s="57"/>
      <c r="DZ294" s="57"/>
      <c r="EA294" s="57"/>
      <c r="EB294" s="57"/>
      <c r="EC294" s="57"/>
      <c r="ED294" s="57"/>
      <c r="EE294" s="57"/>
      <c r="EF294" s="57"/>
      <c r="EG294" s="57"/>
      <c r="EH294" s="57"/>
      <c r="EI294" s="57"/>
      <c r="EJ294" s="57"/>
      <c r="EK294" s="57"/>
      <c r="EL294" s="57"/>
      <c r="EM294" s="57"/>
      <c r="EN294" s="57"/>
      <c r="EO294" s="57"/>
      <c r="EP294" s="57"/>
      <c r="EQ294" s="57"/>
      <c r="ER294" s="57"/>
      <c r="ES294" s="57"/>
      <c r="ET294" s="57"/>
      <c r="EU294" s="57"/>
    </row>
    <row r="295" spans="29:151" s="90" customFormat="1">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DP295" s="57"/>
      <c r="DQ295" s="57"/>
      <c r="DR295" s="57"/>
      <c r="DS295" s="57"/>
      <c r="DT295" s="57"/>
      <c r="DU295" s="57"/>
      <c r="DV295" s="57"/>
      <c r="DW295" s="57"/>
      <c r="DX295" s="57"/>
      <c r="DY295" s="57"/>
      <c r="DZ295" s="57"/>
      <c r="EA295" s="57"/>
      <c r="EB295" s="57"/>
      <c r="EC295" s="57"/>
      <c r="ED295" s="57"/>
      <c r="EE295" s="57"/>
      <c r="EF295" s="57"/>
      <c r="EG295" s="57"/>
      <c r="EH295" s="57"/>
      <c r="EI295" s="57"/>
      <c r="EJ295" s="57"/>
      <c r="EK295" s="57"/>
      <c r="EL295" s="57"/>
      <c r="EM295" s="57"/>
      <c r="EN295" s="57"/>
      <c r="EO295" s="57"/>
      <c r="EP295" s="57"/>
      <c r="EQ295" s="57"/>
      <c r="ER295" s="57"/>
      <c r="ES295" s="57"/>
      <c r="ET295" s="57"/>
      <c r="EU295" s="57"/>
    </row>
    <row r="296" spans="29:151" s="90" customFormat="1">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DP296" s="57"/>
      <c r="DQ296" s="57"/>
      <c r="DR296" s="57"/>
      <c r="DS296" s="57"/>
      <c r="DT296" s="57"/>
      <c r="DU296" s="57"/>
      <c r="DV296" s="57"/>
      <c r="DW296" s="57"/>
      <c r="DX296" s="57"/>
      <c r="DY296" s="57"/>
      <c r="DZ296" s="57"/>
      <c r="EA296" s="57"/>
      <c r="EB296" s="57"/>
      <c r="EC296" s="57"/>
      <c r="ED296" s="57"/>
      <c r="EE296" s="57"/>
      <c r="EF296" s="57"/>
      <c r="EG296" s="57"/>
      <c r="EH296" s="57"/>
      <c r="EI296" s="57"/>
      <c r="EJ296" s="57"/>
      <c r="EK296" s="57"/>
      <c r="EL296" s="57"/>
      <c r="EM296" s="57"/>
      <c r="EN296" s="57"/>
      <c r="EO296" s="57"/>
      <c r="EP296" s="57"/>
      <c r="EQ296" s="57"/>
      <c r="ER296" s="57"/>
      <c r="ES296" s="57"/>
      <c r="ET296" s="57"/>
      <c r="EU296" s="57"/>
    </row>
    <row r="297" spans="29:151" s="90" customFormat="1">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DP297" s="57"/>
      <c r="DQ297" s="57"/>
      <c r="DR297" s="57"/>
      <c r="DS297" s="57"/>
      <c r="DT297" s="57"/>
      <c r="DU297" s="57"/>
      <c r="DV297" s="57"/>
      <c r="DW297" s="57"/>
      <c r="DX297" s="57"/>
      <c r="DY297" s="57"/>
      <c r="DZ297" s="57"/>
      <c r="EA297" s="57"/>
      <c r="EB297" s="57"/>
      <c r="EC297" s="57"/>
      <c r="ED297" s="57"/>
      <c r="EE297" s="57"/>
      <c r="EF297" s="57"/>
      <c r="EG297" s="57"/>
      <c r="EH297" s="57"/>
      <c r="EI297" s="57"/>
      <c r="EJ297" s="57"/>
      <c r="EK297" s="57"/>
      <c r="EL297" s="57"/>
      <c r="EM297" s="57"/>
      <c r="EN297" s="57"/>
      <c r="EO297" s="57"/>
      <c r="EP297" s="57"/>
      <c r="EQ297" s="57"/>
      <c r="ER297" s="57"/>
      <c r="ES297" s="57"/>
      <c r="ET297" s="57"/>
      <c r="EU297" s="57"/>
    </row>
    <row r="298" spans="29:151" s="90" customFormat="1">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DP298" s="57"/>
      <c r="DQ298" s="57"/>
      <c r="DR298" s="57"/>
      <c r="DS298" s="57"/>
      <c r="DT298" s="57"/>
      <c r="DU298" s="57"/>
      <c r="DV298" s="57"/>
      <c r="DW298" s="57"/>
      <c r="DX298" s="57"/>
      <c r="DY298" s="57"/>
      <c r="DZ298" s="57"/>
      <c r="EA298" s="57"/>
      <c r="EB298" s="57"/>
      <c r="EC298" s="57"/>
      <c r="ED298" s="57"/>
      <c r="EE298" s="57"/>
      <c r="EF298" s="57"/>
      <c r="EG298" s="57"/>
      <c r="EH298" s="57"/>
      <c r="EI298" s="57"/>
      <c r="EJ298" s="57"/>
      <c r="EK298" s="57"/>
      <c r="EL298" s="57"/>
      <c r="EM298" s="57"/>
      <c r="EN298" s="57"/>
      <c r="EO298" s="57"/>
      <c r="EP298" s="57"/>
      <c r="EQ298" s="57"/>
      <c r="ER298" s="57"/>
      <c r="ES298" s="57"/>
      <c r="ET298" s="57"/>
      <c r="EU298" s="57"/>
    </row>
    <row r="299" spans="29:151" s="90" customFormat="1">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DP299" s="57"/>
      <c r="DQ299" s="57"/>
      <c r="DR299" s="57"/>
      <c r="DS299" s="57"/>
      <c r="DT299" s="57"/>
      <c r="DU299" s="57"/>
      <c r="DV299" s="57"/>
      <c r="DW299" s="57"/>
      <c r="DX299" s="57"/>
      <c r="DY299" s="57"/>
      <c r="DZ299" s="57"/>
      <c r="EA299" s="57"/>
      <c r="EB299" s="57"/>
      <c r="EC299" s="57"/>
      <c r="ED299" s="57"/>
      <c r="EE299" s="57"/>
      <c r="EF299" s="57"/>
      <c r="EG299" s="57"/>
      <c r="EH299" s="57"/>
      <c r="EI299" s="57"/>
      <c r="EJ299" s="57"/>
      <c r="EK299" s="57"/>
      <c r="EL299" s="57"/>
      <c r="EM299" s="57"/>
      <c r="EN299" s="57"/>
      <c r="EO299" s="57"/>
      <c r="EP299" s="57"/>
      <c r="EQ299" s="57"/>
      <c r="ER299" s="57"/>
      <c r="ES299" s="57"/>
      <c r="ET299" s="57"/>
      <c r="EU299" s="57"/>
    </row>
    <row r="300" spans="29:151" s="90" customFormat="1">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DP300" s="57"/>
      <c r="DQ300" s="57"/>
      <c r="DR300" s="57"/>
      <c r="DS300" s="57"/>
      <c r="DT300" s="57"/>
      <c r="DU300" s="57"/>
      <c r="DV300" s="57"/>
      <c r="DW300" s="57"/>
      <c r="DX300" s="57"/>
      <c r="DY300" s="57"/>
      <c r="DZ300" s="57"/>
      <c r="EA300" s="57"/>
      <c r="EB300" s="57"/>
      <c r="EC300" s="57"/>
      <c r="ED300" s="57"/>
      <c r="EE300" s="57"/>
      <c r="EF300" s="57"/>
      <c r="EG300" s="57"/>
      <c r="EH300" s="57"/>
      <c r="EI300" s="57"/>
      <c r="EJ300" s="57"/>
      <c r="EK300" s="57"/>
      <c r="EL300" s="57"/>
      <c r="EM300" s="57"/>
      <c r="EN300" s="57"/>
      <c r="EO300" s="57"/>
      <c r="EP300" s="57"/>
      <c r="EQ300" s="57"/>
      <c r="ER300" s="57"/>
      <c r="ES300" s="57"/>
      <c r="ET300" s="57"/>
      <c r="EU300" s="57"/>
    </row>
    <row r="301" spans="29:151" s="90" customFormat="1">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c r="DZ301" s="57"/>
      <c r="EA301" s="57"/>
      <c r="EB301" s="57"/>
      <c r="EC301" s="57"/>
      <c r="ED301" s="57"/>
      <c r="EE301" s="57"/>
      <c r="EF301" s="57"/>
      <c r="EG301" s="57"/>
      <c r="EH301" s="57"/>
      <c r="EI301" s="57"/>
      <c r="EJ301" s="57"/>
      <c r="EK301" s="57"/>
      <c r="EL301" s="57"/>
      <c r="EM301" s="57"/>
      <c r="EN301" s="57"/>
      <c r="EO301" s="57"/>
      <c r="EP301" s="57"/>
      <c r="EQ301" s="57"/>
      <c r="ER301" s="57"/>
      <c r="ES301" s="57"/>
      <c r="ET301" s="57"/>
      <c r="EU301" s="57"/>
    </row>
    <row r="302" spans="29:151" s="90" customFormat="1">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c r="DZ302" s="57"/>
      <c r="EA302" s="57"/>
      <c r="EB302" s="57"/>
      <c r="EC302" s="57"/>
      <c r="ED302" s="57"/>
      <c r="EE302" s="57"/>
      <c r="EF302" s="57"/>
      <c r="EG302" s="57"/>
      <c r="EH302" s="57"/>
      <c r="EI302" s="57"/>
      <c r="EJ302" s="57"/>
      <c r="EK302" s="57"/>
      <c r="EL302" s="57"/>
      <c r="EM302" s="57"/>
      <c r="EN302" s="57"/>
      <c r="EO302" s="57"/>
      <c r="EP302" s="57"/>
      <c r="EQ302" s="57"/>
      <c r="ER302" s="57"/>
      <c r="ES302" s="57"/>
      <c r="ET302" s="57"/>
      <c r="EU302" s="57"/>
    </row>
    <row r="303" spans="29:151" s="90" customFormat="1">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DP303" s="57"/>
      <c r="DQ303" s="57"/>
      <c r="DR303" s="57"/>
      <c r="DS303" s="57"/>
      <c r="DT303" s="57"/>
      <c r="DU303" s="57"/>
      <c r="DV303" s="57"/>
      <c r="DW303" s="57"/>
      <c r="DX303" s="57"/>
      <c r="DY303" s="57"/>
      <c r="DZ303" s="57"/>
      <c r="EA303" s="57"/>
      <c r="EB303" s="57"/>
      <c r="EC303" s="57"/>
      <c r="ED303" s="57"/>
      <c r="EE303" s="57"/>
      <c r="EF303" s="57"/>
      <c r="EG303" s="57"/>
      <c r="EH303" s="57"/>
      <c r="EI303" s="57"/>
      <c r="EJ303" s="57"/>
      <c r="EK303" s="57"/>
      <c r="EL303" s="57"/>
      <c r="EM303" s="57"/>
      <c r="EN303" s="57"/>
      <c r="EO303" s="57"/>
      <c r="EP303" s="57"/>
      <c r="EQ303" s="57"/>
      <c r="ER303" s="57"/>
      <c r="ES303" s="57"/>
      <c r="ET303" s="57"/>
      <c r="EU303" s="57"/>
    </row>
    <row r="304" spans="29:151" s="90" customFormat="1">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DP304" s="57"/>
      <c r="DQ304" s="57"/>
      <c r="DR304" s="57"/>
      <c r="DS304" s="57"/>
      <c r="DT304" s="57"/>
      <c r="DU304" s="57"/>
      <c r="DV304" s="57"/>
      <c r="DW304" s="57"/>
      <c r="DX304" s="57"/>
      <c r="DY304" s="57"/>
      <c r="DZ304" s="57"/>
      <c r="EA304" s="57"/>
      <c r="EB304" s="57"/>
      <c r="EC304" s="57"/>
      <c r="ED304" s="57"/>
      <c r="EE304" s="57"/>
      <c r="EF304" s="57"/>
      <c r="EG304" s="57"/>
      <c r="EH304" s="57"/>
      <c r="EI304" s="57"/>
      <c r="EJ304" s="57"/>
      <c r="EK304" s="57"/>
      <c r="EL304" s="57"/>
      <c r="EM304" s="57"/>
      <c r="EN304" s="57"/>
      <c r="EO304" s="57"/>
      <c r="EP304" s="57"/>
      <c r="EQ304" s="57"/>
      <c r="ER304" s="57"/>
      <c r="ES304" s="57"/>
      <c r="ET304" s="57"/>
      <c r="EU304" s="57"/>
    </row>
    <row r="305" spans="29:151" s="90" customFormat="1">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c r="DZ305" s="57"/>
      <c r="EA305" s="57"/>
      <c r="EB305" s="57"/>
      <c r="EC305" s="57"/>
      <c r="ED305" s="57"/>
      <c r="EE305" s="57"/>
      <c r="EF305" s="57"/>
      <c r="EG305" s="57"/>
      <c r="EH305" s="57"/>
      <c r="EI305" s="57"/>
      <c r="EJ305" s="57"/>
      <c r="EK305" s="57"/>
      <c r="EL305" s="57"/>
      <c r="EM305" s="57"/>
      <c r="EN305" s="57"/>
      <c r="EO305" s="57"/>
      <c r="EP305" s="57"/>
      <c r="EQ305" s="57"/>
      <c r="ER305" s="57"/>
      <c r="ES305" s="57"/>
      <c r="ET305" s="57"/>
      <c r="EU305" s="57"/>
    </row>
    <row r="306" spans="29:151" s="90" customFormat="1">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c r="DZ306" s="57"/>
      <c r="EA306" s="57"/>
      <c r="EB306" s="57"/>
      <c r="EC306" s="57"/>
      <c r="ED306" s="57"/>
      <c r="EE306" s="57"/>
      <c r="EF306" s="57"/>
      <c r="EG306" s="57"/>
      <c r="EH306" s="57"/>
      <c r="EI306" s="57"/>
      <c r="EJ306" s="57"/>
      <c r="EK306" s="57"/>
      <c r="EL306" s="57"/>
      <c r="EM306" s="57"/>
      <c r="EN306" s="57"/>
      <c r="EO306" s="57"/>
      <c r="EP306" s="57"/>
      <c r="EQ306" s="57"/>
      <c r="ER306" s="57"/>
      <c r="ES306" s="57"/>
      <c r="ET306" s="57"/>
      <c r="EU306" s="57"/>
    </row>
    <row r="307" spans="29:151" s="90" customFormat="1">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DP307" s="57"/>
      <c r="DQ307" s="57"/>
      <c r="DR307" s="57"/>
      <c r="DS307" s="57"/>
      <c r="DT307" s="57"/>
      <c r="DU307" s="57"/>
      <c r="DV307" s="57"/>
      <c r="DW307" s="57"/>
      <c r="DX307" s="57"/>
      <c r="DY307" s="57"/>
      <c r="DZ307" s="57"/>
      <c r="EA307" s="57"/>
      <c r="EB307" s="57"/>
      <c r="EC307" s="57"/>
      <c r="ED307" s="57"/>
      <c r="EE307" s="57"/>
      <c r="EF307" s="57"/>
      <c r="EG307" s="57"/>
      <c r="EH307" s="57"/>
      <c r="EI307" s="57"/>
      <c r="EJ307" s="57"/>
      <c r="EK307" s="57"/>
      <c r="EL307" s="57"/>
      <c r="EM307" s="57"/>
      <c r="EN307" s="57"/>
      <c r="EO307" s="57"/>
      <c r="EP307" s="57"/>
      <c r="EQ307" s="57"/>
      <c r="ER307" s="57"/>
      <c r="ES307" s="57"/>
      <c r="ET307" s="57"/>
      <c r="EU307" s="57"/>
    </row>
    <row r="308" spans="29:151" s="90" customFormat="1">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DP308" s="57"/>
      <c r="DQ308" s="57"/>
      <c r="DR308" s="57"/>
      <c r="DS308" s="57"/>
      <c r="DT308" s="57"/>
      <c r="DU308" s="57"/>
      <c r="DV308" s="57"/>
      <c r="DW308" s="57"/>
      <c r="DX308" s="57"/>
      <c r="DY308" s="57"/>
      <c r="DZ308" s="57"/>
      <c r="EA308" s="57"/>
      <c r="EB308" s="57"/>
      <c r="EC308" s="57"/>
      <c r="ED308" s="57"/>
      <c r="EE308" s="57"/>
      <c r="EF308" s="57"/>
      <c r="EG308" s="57"/>
      <c r="EH308" s="57"/>
      <c r="EI308" s="57"/>
      <c r="EJ308" s="57"/>
      <c r="EK308" s="57"/>
      <c r="EL308" s="57"/>
      <c r="EM308" s="57"/>
      <c r="EN308" s="57"/>
      <c r="EO308" s="57"/>
      <c r="EP308" s="57"/>
      <c r="EQ308" s="57"/>
      <c r="ER308" s="57"/>
      <c r="ES308" s="57"/>
      <c r="ET308" s="57"/>
      <c r="EU308" s="57"/>
    </row>
    <row r="309" spans="29:151" s="90" customFormat="1">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c r="DZ309" s="57"/>
      <c r="EA309" s="57"/>
      <c r="EB309" s="57"/>
      <c r="EC309" s="57"/>
      <c r="ED309" s="57"/>
      <c r="EE309" s="57"/>
      <c r="EF309" s="57"/>
      <c r="EG309" s="57"/>
      <c r="EH309" s="57"/>
      <c r="EI309" s="57"/>
      <c r="EJ309" s="57"/>
      <c r="EK309" s="57"/>
      <c r="EL309" s="57"/>
      <c r="EM309" s="57"/>
      <c r="EN309" s="57"/>
      <c r="EO309" s="57"/>
      <c r="EP309" s="57"/>
      <c r="EQ309" s="57"/>
      <c r="ER309" s="57"/>
      <c r="ES309" s="57"/>
      <c r="ET309" s="57"/>
      <c r="EU309" s="57"/>
    </row>
    <row r="310" spans="29:151" s="90" customFormat="1">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c r="DZ310" s="57"/>
      <c r="EA310" s="57"/>
      <c r="EB310" s="57"/>
      <c r="EC310" s="57"/>
      <c r="ED310" s="57"/>
      <c r="EE310" s="57"/>
      <c r="EF310" s="57"/>
      <c r="EG310" s="57"/>
      <c r="EH310" s="57"/>
      <c r="EI310" s="57"/>
      <c r="EJ310" s="57"/>
      <c r="EK310" s="57"/>
      <c r="EL310" s="57"/>
      <c r="EM310" s="57"/>
      <c r="EN310" s="57"/>
      <c r="EO310" s="57"/>
      <c r="EP310" s="57"/>
      <c r="EQ310" s="57"/>
      <c r="ER310" s="57"/>
      <c r="ES310" s="57"/>
      <c r="ET310" s="57"/>
      <c r="EU310" s="57"/>
    </row>
    <row r="311" spans="29:151" s="90" customFormat="1">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DP311" s="57"/>
      <c r="DQ311" s="57"/>
      <c r="DR311" s="57"/>
      <c r="DS311" s="57"/>
      <c r="DT311" s="57"/>
      <c r="DU311" s="57"/>
      <c r="DV311" s="57"/>
      <c r="DW311" s="57"/>
      <c r="DX311" s="57"/>
      <c r="DY311" s="57"/>
      <c r="DZ311" s="57"/>
      <c r="EA311" s="57"/>
      <c r="EB311" s="57"/>
      <c r="EC311" s="57"/>
      <c r="ED311" s="57"/>
      <c r="EE311" s="57"/>
      <c r="EF311" s="57"/>
      <c r="EG311" s="57"/>
      <c r="EH311" s="57"/>
      <c r="EI311" s="57"/>
      <c r="EJ311" s="57"/>
      <c r="EK311" s="57"/>
      <c r="EL311" s="57"/>
      <c r="EM311" s="57"/>
      <c r="EN311" s="57"/>
      <c r="EO311" s="57"/>
      <c r="EP311" s="57"/>
      <c r="EQ311" s="57"/>
      <c r="ER311" s="57"/>
      <c r="ES311" s="57"/>
      <c r="ET311" s="57"/>
      <c r="EU311" s="57"/>
    </row>
    <row r="312" spans="29:151" s="90" customFormat="1">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P312" s="57"/>
      <c r="DQ312" s="57"/>
      <c r="DR312" s="57"/>
      <c r="DS312" s="57"/>
      <c r="DT312" s="57"/>
      <c r="DU312" s="57"/>
      <c r="DV312" s="57"/>
      <c r="DW312" s="57"/>
      <c r="DX312" s="57"/>
      <c r="DY312" s="57"/>
      <c r="DZ312" s="57"/>
      <c r="EA312" s="57"/>
      <c r="EB312" s="57"/>
      <c r="EC312" s="57"/>
      <c r="ED312" s="57"/>
      <c r="EE312" s="57"/>
      <c r="EF312" s="57"/>
      <c r="EG312" s="57"/>
      <c r="EH312" s="57"/>
      <c r="EI312" s="57"/>
      <c r="EJ312" s="57"/>
      <c r="EK312" s="57"/>
      <c r="EL312" s="57"/>
      <c r="EM312" s="57"/>
      <c r="EN312" s="57"/>
      <c r="EO312" s="57"/>
      <c r="EP312" s="57"/>
      <c r="EQ312" s="57"/>
      <c r="ER312" s="57"/>
      <c r="ES312" s="57"/>
      <c r="ET312" s="57"/>
      <c r="EU312" s="57"/>
    </row>
    <row r="313" spans="29:151" s="90" customFormat="1">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c r="DZ313" s="57"/>
      <c r="EA313" s="57"/>
      <c r="EB313" s="57"/>
      <c r="EC313" s="57"/>
      <c r="ED313" s="57"/>
      <c r="EE313" s="57"/>
      <c r="EF313" s="57"/>
      <c r="EG313" s="57"/>
      <c r="EH313" s="57"/>
      <c r="EI313" s="57"/>
      <c r="EJ313" s="57"/>
      <c r="EK313" s="57"/>
      <c r="EL313" s="57"/>
      <c r="EM313" s="57"/>
      <c r="EN313" s="57"/>
      <c r="EO313" s="57"/>
      <c r="EP313" s="57"/>
      <c r="EQ313" s="57"/>
      <c r="ER313" s="57"/>
      <c r="ES313" s="57"/>
      <c r="ET313" s="57"/>
      <c r="EU313" s="57"/>
    </row>
    <row r="314" spans="29:151" s="90" customFormat="1">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c r="DZ314" s="57"/>
      <c r="EA314" s="57"/>
      <c r="EB314" s="57"/>
      <c r="EC314" s="57"/>
      <c r="ED314" s="57"/>
      <c r="EE314" s="57"/>
      <c r="EF314" s="57"/>
      <c r="EG314" s="57"/>
      <c r="EH314" s="57"/>
      <c r="EI314" s="57"/>
      <c r="EJ314" s="57"/>
      <c r="EK314" s="57"/>
      <c r="EL314" s="57"/>
      <c r="EM314" s="57"/>
      <c r="EN314" s="57"/>
      <c r="EO314" s="57"/>
      <c r="EP314" s="57"/>
      <c r="EQ314" s="57"/>
      <c r="ER314" s="57"/>
      <c r="ES314" s="57"/>
      <c r="ET314" s="57"/>
      <c r="EU314" s="57"/>
    </row>
    <row r="315" spans="29:151" s="90" customFormat="1">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DP315" s="57"/>
      <c r="DQ315" s="57"/>
      <c r="DR315" s="57"/>
      <c r="DS315" s="57"/>
      <c r="DT315" s="57"/>
      <c r="DU315" s="57"/>
      <c r="DV315" s="57"/>
      <c r="DW315" s="57"/>
      <c r="DX315" s="57"/>
      <c r="DY315" s="57"/>
      <c r="DZ315" s="57"/>
      <c r="EA315" s="57"/>
      <c r="EB315" s="57"/>
      <c r="EC315" s="57"/>
      <c r="ED315" s="57"/>
      <c r="EE315" s="57"/>
      <c r="EF315" s="57"/>
      <c r="EG315" s="57"/>
      <c r="EH315" s="57"/>
      <c r="EI315" s="57"/>
      <c r="EJ315" s="57"/>
      <c r="EK315" s="57"/>
      <c r="EL315" s="57"/>
      <c r="EM315" s="57"/>
      <c r="EN315" s="57"/>
      <c r="EO315" s="57"/>
      <c r="EP315" s="57"/>
      <c r="EQ315" s="57"/>
      <c r="ER315" s="57"/>
      <c r="ES315" s="57"/>
      <c r="ET315" s="57"/>
      <c r="EU315" s="57"/>
    </row>
    <row r="316" spans="29:151" s="90" customFormat="1">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DP316" s="57"/>
      <c r="DQ316" s="57"/>
      <c r="DR316" s="57"/>
      <c r="DS316" s="57"/>
      <c r="DT316" s="57"/>
      <c r="DU316" s="57"/>
      <c r="DV316" s="57"/>
      <c r="DW316" s="57"/>
      <c r="DX316" s="57"/>
      <c r="DY316" s="57"/>
      <c r="DZ316" s="57"/>
      <c r="EA316" s="57"/>
      <c r="EB316" s="57"/>
      <c r="EC316" s="57"/>
      <c r="ED316" s="57"/>
      <c r="EE316" s="57"/>
      <c r="EF316" s="57"/>
      <c r="EG316" s="57"/>
      <c r="EH316" s="57"/>
      <c r="EI316" s="57"/>
      <c r="EJ316" s="57"/>
      <c r="EK316" s="57"/>
      <c r="EL316" s="57"/>
      <c r="EM316" s="57"/>
      <c r="EN316" s="57"/>
      <c r="EO316" s="57"/>
      <c r="EP316" s="57"/>
      <c r="EQ316" s="57"/>
      <c r="ER316" s="57"/>
      <c r="ES316" s="57"/>
      <c r="ET316" s="57"/>
      <c r="EU316" s="57"/>
    </row>
    <row r="317" spans="29:151" s="90" customFormat="1">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c r="DZ317" s="57"/>
      <c r="EA317" s="57"/>
      <c r="EB317" s="57"/>
      <c r="EC317" s="57"/>
      <c r="ED317" s="57"/>
      <c r="EE317" s="57"/>
      <c r="EF317" s="57"/>
      <c r="EG317" s="57"/>
      <c r="EH317" s="57"/>
      <c r="EI317" s="57"/>
      <c r="EJ317" s="57"/>
      <c r="EK317" s="57"/>
      <c r="EL317" s="57"/>
      <c r="EM317" s="57"/>
      <c r="EN317" s="57"/>
      <c r="EO317" s="57"/>
      <c r="EP317" s="57"/>
      <c r="EQ317" s="57"/>
      <c r="ER317" s="57"/>
      <c r="ES317" s="57"/>
      <c r="ET317" s="57"/>
      <c r="EU317" s="57"/>
    </row>
    <row r="318" spans="29:151" s="90" customFormat="1">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c r="DZ318" s="57"/>
      <c r="EA318" s="57"/>
      <c r="EB318" s="57"/>
      <c r="EC318" s="57"/>
      <c r="ED318" s="57"/>
      <c r="EE318" s="57"/>
      <c r="EF318" s="57"/>
      <c r="EG318" s="57"/>
      <c r="EH318" s="57"/>
      <c r="EI318" s="57"/>
      <c r="EJ318" s="57"/>
      <c r="EK318" s="57"/>
      <c r="EL318" s="57"/>
      <c r="EM318" s="57"/>
      <c r="EN318" s="57"/>
      <c r="EO318" s="57"/>
      <c r="EP318" s="57"/>
      <c r="EQ318" s="57"/>
      <c r="ER318" s="57"/>
      <c r="ES318" s="57"/>
      <c r="ET318" s="57"/>
      <c r="EU318" s="57"/>
    </row>
    <row r="319" spans="29:151" s="90" customFormat="1">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DP319" s="57"/>
      <c r="DQ319" s="57"/>
      <c r="DR319" s="57"/>
      <c r="DS319" s="57"/>
      <c r="DT319" s="57"/>
      <c r="DU319" s="57"/>
      <c r="DV319" s="57"/>
      <c r="DW319" s="57"/>
      <c r="DX319" s="57"/>
      <c r="DY319" s="57"/>
      <c r="DZ319" s="57"/>
      <c r="EA319" s="57"/>
      <c r="EB319" s="57"/>
      <c r="EC319" s="57"/>
      <c r="ED319" s="57"/>
      <c r="EE319" s="57"/>
      <c r="EF319" s="57"/>
      <c r="EG319" s="57"/>
      <c r="EH319" s="57"/>
      <c r="EI319" s="57"/>
      <c r="EJ319" s="57"/>
      <c r="EK319" s="57"/>
      <c r="EL319" s="57"/>
      <c r="EM319" s="57"/>
      <c r="EN319" s="57"/>
      <c r="EO319" s="57"/>
      <c r="EP319" s="57"/>
      <c r="EQ319" s="57"/>
      <c r="ER319" s="57"/>
      <c r="ES319" s="57"/>
      <c r="ET319" s="57"/>
      <c r="EU319" s="57"/>
    </row>
    <row r="320" spans="29:151" s="90" customFormat="1">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P320" s="57"/>
      <c r="DQ320" s="57"/>
      <c r="DR320" s="57"/>
      <c r="DS320" s="57"/>
      <c r="DT320" s="57"/>
      <c r="DU320" s="57"/>
      <c r="DV320" s="57"/>
      <c r="DW320" s="57"/>
      <c r="DX320" s="57"/>
      <c r="DY320" s="57"/>
      <c r="DZ320" s="57"/>
      <c r="EA320" s="57"/>
      <c r="EB320" s="57"/>
      <c r="EC320" s="57"/>
      <c r="ED320" s="57"/>
      <c r="EE320" s="57"/>
      <c r="EF320" s="57"/>
      <c r="EG320" s="57"/>
      <c r="EH320" s="57"/>
      <c r="EI320" s="57"/>
      <c r="EJ320" s="57"/>
      <c r="EK320" s="57"/>
      <c r="EL320" s="57"/>
      <c r="EM320" s="57"/>
      <c r="EN320" s="57"/>
      <c r="EO320" s="57"/>
      <c r="EP320" s="57"/>
      <c r="EQ320" s="57"/>
      <c r="ER320" s="57"/>
      <c r="ES320" s="57"/>
      <c r="ET320" s="57"/>
      <c r="EU320" s="57"/>
    </row>
    <row r="321" spans="29:151" s="90" customFormat="1">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c r="DZ321" s="57"/>
      <c r="EA321" s="57"/>
      <c r="EB321" s="57"/>
      <c r="EC321" s="57"/>
      <c r="ED321" s="57"/>
      <c r="EE321" s="57"/>
      <c r="EF321" s="57"/>
      <c r="EG321" s="57"/>
      <c r="EH321" s="57"/>
      <c r="EI321" s="57"/>
      <c r="EJ321" s="57"/>
      <c r="EK321" s="57"/>
      <c r="EL321" s="57"/>
      <c r="EM321" s="57"/>
      <c r="EN321" s="57"/>
      <c r="EO321" s="57"/>
      <c r="EP321" s="57"/>
      <c r="EQ321" s="57"/>
      <c r="ER321" s="57"/>
      <c r="ES321" s="57"/>
      <c r="ET321" s="57"/>
      <c r="EU321" s="57"/>
    </row>
    <row r="322" spans="29:151" s="90" customFormat="1">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c r="DZ322" s="57"/>
      <c r="EA322" s="57"/>
      <c r="EB322" s="57"/>
      <c r="EC322" s="57"/>
      <c r="ED322" s="57"/>
      <c r="EE322" s="57"/>
      <c r="EF322" s="57"/>
      <c r="EG322" s="57"/>
      <c r="EH322" s="57"/>
      <c r="EI322" s="57"/>
      <c r="EJ322" s="57"/>
      <c r="EK322" s="57"/>
      <c r="EL322" s="57"/>
      <c r="EM322" s="57"/>
      <c r="EN322" s="57"/>
      <c r="EO322" s="57"/>
      <c r="EP322" s="57"/>
      <c r="EQ322" s="57"/>
      <c r="ER322" s="57"/>
      <c r="ES322" s="57"/>
      <c r="ET322" s="57"/>
      <c r="EU322" s="57"/>
    </row>
    <row r="323" spans="29:151" s="90" customFormat="1">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P323" s="57"/>
      <c r="DQ323" s="57"/>
      <c r="DR323" s="57"/>
      <c r="DS323" s="57"/>
      <c r="DT323" s="57"/>
      <c r="DU323" s="57"/>
      <c r="DV323" s="57"/>
      <c r="DW323" s="57"/>
      <c r="DX323" s="57"/>
      <c r="DY323" s="57"/>
      <c r="DZ323" s="57"/>
      <c r="EA323" s="57"/>
      <c r="EB323" s="57"/>
      <c r="EC323" s="57"/>
      <c r="ED323" s="57"/>
      <c r="EE323" s="57"/>
      <c r="EF323" s="57"/>
      <c r="EG323" s="57"/>
      <c r="EH323" s="57"/>
      <c r="EI323" s="57"/>
      <c r="EJ323" s="57"/>
      <c r="EK323" s="57"/>
      <c r="EL323" s="57"/>
      <c r="EM323" s="57"/>
      <c r="EN323" s="57"/>
      <c r="EO323" s="57"/>
      <c r="EP323" s="57"/>
      <c r="EQ323" s="57"/>
      <c r="ER323" s="57"/>
      <c r="ES323" s="57"/>
      <c r="ET323" s="57"/>
      <c r="EU323" s="57"/>
    </row>
    <row r="324" spans="29:151" s="90" customFormat="1">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P324" s="57"/>
      <c r="DQ324" s="57"/>
      <c r="DR324" s="57"/>
      <c r="DS324" s="57"/>
      <c r="DT324" s="57"/>
      <c r="DU324" s="57"/>
      <c r="DV324" s="57"/>
      <c r="DW324" s="57"/>
      <c r="DX324" s="57"/>
      <c r="DY324" s="57"/>
      <c r="DZ324" s="57"/>
      <c r="EA324" s="57"/>
      <c r="EB324" s="57"/>
      <c r="EC324" s="57"/>
      <c r="ED324" s="57"/>
      <c r="EE324" s="57"/>
      <c r="EF324" s="57"/>
      <c r="EG324" s="57"/>
      <c r="EH324" s="57"/>
      <c r="EI324" s="57"/>
      <c r="EJ324" s="57"/>
      <c r="EK324" s="57"/>
      <c r="EL324" s="57"/>
      <c r="EM324" s="57"/>
      <c r="EN324" s="57"/>
      <c r="EO324" s="57"/>
      <c r="EP324" s="57"/>
      <c r="EQ324" s="57"/>
      <c r="ER324" s="57"/>
      <c r="ES324" s="57"/>
      <c r="ET324" s="57"/>
      <c r="EU324" s="57"/>
    </row>
    <row r="325" spans="29:151" s="90" customFormat="1">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c r="DZ325" s="57"/>
      <c r="EA325" s="57"/>
      <c r="EB325" s="57"/>
      <c r="EC325" s="57"/>
      <c r="ED325" s="57"/>
      <c r="EE325" s="57"/>
      <c r="EF325" s="57"/>
      <c r="EG325" s="57"/>
      <c r="EH325" s="57"/>
      <c r="EI325" s="57"/>
      <c r="EJ325" s="57"/>
      <c r="EK325" s="57"/>
      <c r="EL325" s="57"/>
      <c r="EM325" s="57"/>
      <c r="EN325" s="57"/>
      <c r="EO325" s="57"/>
      <c r="EP325" s="57"/>
      <c r="EQ325" s="57"/>
      <c r="ER325" s="57"/>
      <c r="ES325" s="57"/>
      <c r="ET325" s="57"/>
      <c r="EU325" s="57"/>
    </row>
    <row r="326" spans="29:151" s="90" customFormat="1">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c r="DZ326" s="57"/>
      <c r="EA326" s="57"/>
      <c r="EB326" s="57"/>
      <c r="EC326" s="57"/>
      <c r="ED326" s="57"/>
      <c r="EE326" s="57"/>
      <c r="EF326" s="57"/>
      <c r="EG326" s="57"/>
      <c r="EH326" s="57"/>
      <c r="EI326" s="57"/>
      <c r="EJ326" s="57"/>
      <c r="EK326" s="57"/>
      <c r="EL326" s="57"/>
      <c r="EM326" s="57"/>
      <c r="EN326" s="57"/>
      <c r="EO326" s="57"/>
      <c r="EP326" s="57"/>
      <c r="EQ326" s="57"/>
      <c r="ER326" s="57"/>
      <c r="ES326" s="57"/>
      <c r="ET326" s="57"/>
      <c r="EU326" s="57"/>
    </row>
    <row r="327" spans="29:151" s="90" customFormat="1">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P327" s="57"/>
      <c r="DQ327" s="57"/>
      <c r="DR327" s="57"/>
      <c r="DS327" s="57"/>
      <c r="DT327" s="57"/>
      <c r="DU327" s="57"/>
      <c r="DV327" s="57"/>
      <c r="DW327" s="57"/>
      <c r="DX327" s="57"/>
      <c r="DY327" s="57"/>
      <c r="DZ327" s="57"/>
      <c r="EA327" s="57"/>
      <c r="EB327" s="57"/>
      <c r="EC327" s="57"/>
      <c r="ED327" s="57"/>
      <c r="EE327" s="57"/>
      <c r="EF327" s="57"/>
      <c r="EG327" s="57"/>
      <c r="EH327" s="57"/>
      <c r="EI327" s="57"/>
      <c r="EJ327" s="57"/>
      <c r="EK327" s="57"/>
      <c r="EL327" s="57"/>
      <c r="EM327" s="57"/>
      <c r="EN327" s="57"/>
      <c r="EO327" s="57"/>
      <c r="EP327" s="57"/>
      <c r="EQ327" s="57"/>
      <c r="ER327" s="57"/>
      <c r="ES327" s="57"/>
      <c r="ET327" s="57"/>
      <c r="EU327" s="57"/>
    </row>
    <row r="328" spans="29:151" s="90" customFormat="1">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P328" s="57"/>
      <c r="DQ328" s="57"/>
      <c r="DR328" s="57"/>
      <c r="DS328" s="57"/>
      <c r="DT328" s="57"/>
      <c r="DU328" s="57"/>
      <c r="DV328" s="57"/>
      <c r="DW328" s="57"/>
      <c r="DX328" s="57"/>
      <c r="DY328" s="57"/>
      <c r="DZ328" s="57"/>
      <c r="EA328" s="57"/>
      <c r="EB328" s="57"/>
      <c r="EC328" s="57"/>
      <c r="ED328" s="57"/>
      <c r="EE328" s="57"/>
      <c r="EF328" s="57"/>
      <c r="EG328" s="57"/>
      <c r="EH328" s="57"/>
      <c r="EI328" s="57"/>
      <c r="EJ328" s="57"/>
      <c r="EK328" s="57"/>
      <c r="EL328" s="57"/>
      <c r="EM328" s="57"/>
      <c r="EN328" s="57"/>
      <c r="EO328" s="57"/>
      <c r="EP328" s="57"/>
      <c r="EQ328" s="57"/>
      <c r="ER328" s="57"/>
      <c r="ES328" s="57"/>
      <c r="ET328" s="57"/>
      <c r="EU328" s="57"/>
    </row>
    <row r="329" spans="29:151" s="90" customFormat="1">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c r="DZ329" s="57"/>
      <c r="EA329" s="57"/>
      <c r="EB329" s="57"/>
      <c r="EC329" s="57"/>
      <c r="ED329" s="57"/>
      <c r="EE329" s="57"/>
      <c r="EF329" s="57"/>
      <c r="EG329" s="57"/>
      <c r="EH329" s="57"/>
      <c r="EI329" s="57"/>
      <c r="EJ329" s="57"/>
      <c r="EK329" s="57"/>
      <c r="EL329" s="57"/>
      <c r="EM329" s="57"/>
      <c r="EN329" s="57"/>
      <c r="EO329" s="57"/>
      <c r="EP329" s="57"/>
      <c r="EQ329" s="57"/>
      <c r="ER329" s="57"/>
      <c r="ES329" s="57"/>
      <c r="ET329" s="57"/>
      <c r="EU329" s="57"/>
    </row>
    <row r="330" spans="29:151" s="90" customFormat="1">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c r="DZ330" s="57"/>
      <c r="EA330" s="57"/>
      <c r="EB330" s="57"/>
      <c r="EC330" s="57"/>
      <c r="ED330" s="57"/>
      <c r="EE330" s="57"/>
      <c r="EF330" s="57"/>
      <c r="EG330" s="57"/>
      <c r="EH330" s="57"/>
      <c r="EI330" s="57"/>
      <c r="EJ330" s="57"/>
      <c r="EK330" s="57"/>
      <c r="EL330" s="57"/>
      <c r="EM330" s="57"/>
      <c r="EN330" s="57"/>
      <c r="EO330" s="57"/>
      <c r="EP330" s="57"/>
      <c r="EQ330" s="57"/>
      <c r="ER330" s="57"/>
      <c r="ES330" s="57"/>
      <c r="ET330" s="57"/>
      <c r="EU330" s="57"/>
    </row>
    <row r="331" spans="29:151" s="90" customFormat="1">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P331" s="57"/>
      <c r="DQ331" s="57"/>
      <c r="DR331" s="57"/>
      <c r="DS331" s="57"/>
      <c r="DT331" s="57"/>
      <c r="DU331" s="57"/>
      <c r="DV331" s="57"/>
      <c r="DW331" s="57"/>
      <c r="DX331" s="57"/>
      <c r="DY331" s="57"/>
      <c r="DZ331" s="57"/>
      <c r="EA331" s="57"/>
      <c r="EB331" s="57"/>
      <c r="EC331" s="57"/>
      <c r="ED331" s="57"/>
      <c r="EE331" s="57"/>
      <c r="EF331" s="57"/>
      <c r="EG331" s="57"/>
      <c r="EH331" s="57"/>
      <c r="EI331" s="57"/>
      <c r="EJ331" s="57"/>
      <c r="EK331" s="57"/>
      <c r="EL331" s="57"/>
      <c r="EM331" s="57"/>
      <c r="EN331" s="57"/>
      <c r="EO331" s="57"/>
      <c r="EP331" s="57"/>
      <c r="EQ331" s="57"/>
      <c r="ER331" s="57"/>
      <c r="ES331" s="57"/>
      <c r="ET331" s="57"/>
      <c r="EU331" s="57"/>
    </row>
    <row r="332" spans="29:151" s="90" customFormat="1">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P332" s="57"/>
      <c r="DQ332" s="57"/>
      <c r="DR332" s="57"/>
      <c r="DS332" s="57"/>
      <c r="DT332" s="57"/>
      <c r="DU332" s="57"/>
      <c r="DV332" s="57"/>
      <c r="DW332" s="57"/>
      <c r="DX332" s="57"/>
      <c r="DY332" s="57"/>
      <c r="DZ332" s="57"/>
      <c r="EA332" s="57"/>
      <c r="EB332" s="57"/>
      <c r="EC332" s="57"/>
      <c r="ED332" s="57"/>
      <c r="EE332" s="57"/>
      <c r="EF332" s="57"/>
      <c r="EG332" s="57"/>
      <c r="EH332" s="57"/>
      <c r="EI332" s="57"/>
      <c r="EJ332" s="57"/>
      <c r="EK332" s="57"/>
      <c r="EL332" s="57"/>
      <c r="EM332" s="57"/>
      <c r="EN332" s="57"/>
      <c r="EO332" s="57"/>
      <c r="EP332" s="57"/>
      <c r="EQ332" s="57"/>
      <c r="ER332" s="57"/>
      <c r="ES332" s="57"/>
      <c r="ET332" s="57"/>
      <c r="EU332" s="57"/>
    </row>
    <row r="333" spans="29:151" s="90" customFormat="1">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c r="DZ333" s="57"/>
      <c r="EA333" s="57"/>
      <c r="EB333" s="57"/>
      <c r="EC333" s="57"/>
      <c r="ED333" s="57"/>
      <c r="EE333" s="57"/>
      <c r="EF333" s="57"/>
      <c r="EG333" s="57"/>
      <c r="EH333" s="57"/>
      <c r="EI333" s="57"/>
      <c r="EJ333" s="57"/>
      <c r="EK333" s="57"/>
      <c r="EL333" s="57"/>
      <c r="EM333" s="57"/>
      <c r="EN333" s="57"/>
      <c r="EO333" s="57"/>
      <c r="EP333" s="57"/>
      <c r="EQ333" s="57"/>
      <c r="ER333" s="57"/>
      <c r="ES333" s="57"/>
      <c r="ET333" s="57"/>
      <c r="EU333" s="57"/>
    </row>
    <row r="334" spans="29:151" s="90" customFormat="1">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c r="DZ334" s="57"/>
      <c r="EA334" s="57"/>
      <c r="EB334" s="57"/>
      <c r="EC334" s="57"/>
      <c r="ED334" s="57"/>
      <c r="EE334" s="57"/>
      <c r="EF334" s="57"/>
      <c r="EG334" s="57"/>
      <c r="EH334" s="57"/>
      <c r="EI334" s="57"/>
      <c r="EJ334" s="57"/>
      <c r="EK334" s="57"/>
      <c r="EL334" s="57"/>
      <c r="EM334" s="57"/>
      <c r="EN334" s="57"/>
      <c r="EO334" s="57"/>
      <c r="EP334" s="57"/>
      <c r="EQ334" s="57"/>
      <c r="ER334" s="57"/>
      <c r="ES334" s="57"/>
      <c r="ET334" s="57"/>
      <c r="EU334" s="57"/>
    </row>
    <row r="335" spans="29:151" s="90" customFormat="1">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P335" s="57"/>
      <c r="DQ335" s="57"/>
      <c r="DR335" s="57"/>
      <c r="DS335" s="57"/>
      <c r="DT335" s="57"/>
      <c r="DU335" s="57"/>
      <c r="DV335" s="57"/>
      <c r="DW335" s="57"/>
      <c r="DX335" s="57"/>
      <c r="DY335" s="57"/>
      <c r="DZ335" s="57"/>
      <c r="EA335" s="57"/>
      <c r="EB335" s="57"/>
      <c r="EC335" s="57"/>
      <c r="ED335" s="57"/>
      <c r="EE335" s="57"/>
      <c r="EF335" s="57"/>
      <c r="EG335" s="57"/>
      <c r="EH335" s="57"/>
      <c r="EI335" s="57"/>
      <c r="EJ335" s="57"/>
      <c r="EK335" s="57"/>
      <c r="EL335" s="57"/>
      <c r="EM335" s="57"/>
      <c r="EN335" s="57"/>
      <c r="EO335" s="57"/>
      <c r="EP335" s="57"/>
      <c r="EQ335" s="57"/>
      <c r="ER335" s="57"/>
      <c r="ES335" s="57"/>
      <c r="ET335" s="57"/>
      <c r="EU335" s="57"/>
    </row>
    <row r="336" spans="29:151" s="90" customFormat="1">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P336" s="57"/>
      <c r="DQ336" s="57"/>
      <c r="DR336" s="57"/>
      <c r="DS336" s="57"/>
      <c r="DT336" s="57"/>
      <c r="DU336" s="57"/>
      <c r="DV336" s="57"/>
      <c r="DW336" s="57"/>
      <c r="DX336" s="57"/>
      <c r="DY336" s="57"/>
      <c r="DZ336" s="57"/>
      <c r="EA336" s="57"/>
      <c r="EB336" s="57"/>
      <c r="EC336" s="57"/>
      <c r="ED336" s="57"/>
      <c r="EE336" s="57"/>
      <c r="EF336" s="57"/>
      <c r="EG336" s="57"/>
      <c r="EH336" s="57"/>
      <c r="EI336" s="57"/>
      <c r="EJ336" s="57"/>
      <c r="EK336" s="57"/>
      <c r="EL336" s="57"/>
      <c r="EM336" s="57"/>
      <c r="EN336" s="57"/>
      <c r="EO336" s="57"/>
      <c r="EP336" s="57"/>
      <c r="EQ336" s="57"/>
      <c r="ER336" s="57"/>
      <c r="ES336" s="57"/>
      <c r="ET336" s="57"/>
      <c r="EU336" s="57"/>
    </row>
    <row r="337" spans="29:151" s="90" customFormat="1">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c r="DZ337" s="57"/>
      <c r="EA337" s="57"/>
      <c r="EB337" s="57"/>
      <c r="EC337" s="57"/>
      <c r="ED337" s="57"/>
      <c r="EE337" s="57"/>
      <c r="EF337" s="57"/>
      <c r="EG337" s="57"/>
      <c r="EH337" s="57"/>
      <c r="EI337" s="57"/>
      <c r="EJ337" s="57"/>
      <c r="EK337" s="57"/>
      <c r="EL337" s="57"/>
      <c r="EM337" s="57"/>
      <c r="EN337" s="57"/>
      <c r="EO337" s="57"/>
      <c r="EP337" s="57"/>
      <c r="EQ337" s="57"/>
      <c r="ER337" s="57"/>
      <c r="ES337" s="57"/>
      <c r="ET337" s="57"/>
      <c r="EU337" s="57"/>
    </row>
    <row r="338" spans="29:151" s="90" customFormat="1">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c r="DZ338" s="57"/>
      <c r="EA338" s="57"/>
      <c r="EB338" s="57"/>
      <c r="EC338" s="57"/>
      <c r="ED338" s="57"/>
      <c r="EE338" s="57"/>
      <c r="EF338" s="57"/>
      <c r="EG338" s="57"/>
      <c r="EH338" s="57"/>
      <c r="EI338" s="57"/>
      <c r="EJ338" s="57"/>
      <c r="EK338" s="57"/>
      <c r="EL338" s="57"/>
      <c r="EM338" s="57"/>
      <c r="EN338" s="57"/>
      <c r="EO338" s="57"/>
      <c r="EP338" s="57"/>
      <c r="EQ338" s="57"/>
      <c r="ER338" s="57"/>
      <c r="ES338" s="57"/>
      <c r="ET338" s="57"/>
      <c r="EU338" s="57"/>
    </row>
    <row r="339" spans="29:151" s="90" customFormat="1">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P339" s="57"/>
      <c r="DQ339" s="57"/>
      <c r="DR339" s="57"/>
      <c r="DS339" s="57"/>
      <c r="DT339" s="57"/>
      <c r="DU339" s="57"/>
      <c r="DV339" s="57"/>
      <c r="DW339" s="57"/>
      <c r="DX339" s="57"/>
      <c r="DY339" s="57"/>
      <c r="DZ339" s="57"/>
      <c r="EA339" s="57"/>
      <c r="EB339" s="57"/>
      <c r="EC339" s="57"/>
      <c r="ED339" s="57"/>
      <c r="EE339" s="57"/>
      <c r="EF339" s="57"/>
      <c r="EG339" s="57"/>
      <c r="EH339" s="57"/>
      <c r="EI339" s="57"/>
      <c r="EJ339" s="57"/>
      <c r="EK339" s="57"/>
      <c r="EL339" s="57"/>
      <c r="EM339" s="57"/>
      <c r="EN339" s="57"/>
      <c r="EO339" s="57"/>
      <c r="EP339" s="57"/>
      <c r="EQ339" s="57"/>
      <c r="ER339" s="57"/>
      <c r="ES339" s="57"/>
      <c r="ET339" s="57"/>
      <c r="EU339" s="57"/>
    </row>
    <row r="340" spans="29:151" s="90" customFormat="1">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P340" s="57"/>
      <c r="DQ340" s="57"/>
      <c r="DR340" s="57"/>
      <c r="DS340" s="57"/>
      <c r="DT340" s="57"/>
      <c r="DU340" s="57"/>
      <c r="DV340" s="57"/>
      <c r="DW340" s="57"/>
      <c r="DX340" s="57"/>
      <c r="DY340" s="57"/>
      <c r="DZ340" s="57"/>
      <c r="EA340" s="57"/>
      <c r="EB340" s="57"/>
      <c r="EC340" s="57"/>
      <c r="ED340" s="57"/>
      <c r="EE340" s="57"/>
      <c r="EF340" s="57"/>
      <c r="EG340" s="57"/>
      <c r="EH340" s="57"/>
      <c r="EI340" s="57"/>
      <c r="EJ340" s="57"/>
      <c r="EK340" s="57"/>
      <c r="EL340" s="57"/>
      <c r="EM340" s="57"/>
      <c r="EN340" s="57"/>
      <c r="EO340" s="57"/>
      <c r="EP340" s="57"/>
      <c r="EQ340" s="57"/>
      <c r="ER340" s="57"/>
      <c r="ES340" s="57"/>
      <c r="ET340" s="57"/>
      <c r="EU340" s="57"/>
    </row>
    <row r="341" spans="29:151" s="90" customFormat="1">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c r="DZ341" s="57"/>
      <c r="EA341" s="57"/>
      <c r="EB341" s="57"/>
      <c r="EC341" s="57"/>
      <c r="ED341" s="57"/>
      <c r="EE341" s="57"/>
      <c r="EF341" s="57"/>
      <c r="EG341" s="57"/>
      <c r="EH341" s="57"/>
      <c r="EI341" s="57"/>
      <c r="EJ341" s="57"/>
      <c r="EK341" s="57"/>
      <c r="EL341" s="57"/>
      <c r="EM341" s="57"/>
      <c r="EN341" s="57"/>
      <c r="EO341" s="57"/>
      <c r="EP341" s="57"/>
      <c r="EQ341" s="57"/>
      <c r="ER341" s="57"/>
      <c r="ES341" s="57"/>
      <c r="ET341" s="57"/>
      <c r="EU341" s="57"/>
    </row>
    <row r="342" spans="29:151" s="90" customFormat="1">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c r="DZ342" s="57"/>
      <c r="EA342" s="57"/>
      <c r="EB342" s="57"/>
      <c r="EC342" s="57"/>
      <c r="ED342" s="57"/>
      <c r="EE342" s="57"/>
      <c r="EF342" s="57"/>
      <c r="EG342" s="57"/>
      <c r="EH342" s="57"/>
      <c r="EI342" s="57"/>
      <c r="EJ342" s="57"/>
      <c r="EK342" s="57"/>
      <c r="EL342" s="57"/>
      <c r="EM342" s="57"/>
      <c r="EN342" s="57"/>
      <c r="EO342" s="57"/>
      <c r="EP342" s="57"/>
      <c r="EQ342" s="57"/>
      <c r="ER342" s="57"/>
      <c r="ES342" s="57"/>
      <c r="ET342" s="57"/>
      <c r="EU342" s="57"/>
    </row>
    <row r="343" spans="29:151" s="90" customFormat="1">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P343" s="57"/>
      <c r="DQ343" s="57"/>
      <c r="DR343" s="57"/>
      <c r="DS343" s="57"/>
      <c r="DT343" s="57"/>
      <c r="DU343" s="57"/>
      <c r="DV343" s="57"/>
      <c r="DW343" s="57"/>
      <c r="DX343" s="57"/>
      <c r="DY343" s="57"/>
      <c r="DZ343" s="57"/>
      <c r="EA343" s="57"/>
      <c r="EB343" s="57"/>
      <c r="EC343" s="57"/>
      <c r="ED343" s="57"/>
      <c r="EE343" s="57"/>
      <c r="EF343" s="57"/>
      <c r="EG343" s="57"/>
      <c r="EH343" s="57"/>
      <c r="EI343" s="57"/>
      <c r="EJ343" s="57"/>
      <c r="EK343" s="57"/>
      <c r="EL343" s="57"/>
      <c r="EM343" s="57"/>
      <c r="EN343" s="57"/>
      <c r="EO343" s="57"/>
      <c r="EP343" s="57"/>
      <c r="EQ343" s="57"/>
      <c r="ER343" s="57"/>
      <c r="ES343" s="57"/>
      <c r="ET343" s="57"/>
      <c r="EU343" s="57"/>
    </row>
    <row r="344" spans="29:151" s="90" customFormat="1">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P344" s="57"/>
      <c r="DQ344" s="57"/>
      <c r="DR344" s="57"/>
      <c r="DS344" s="57"/>
      <c r="DT344" s="57"/>
      <c r="DU344" s="57"/>
      <c r="DV344" s="57"/>
      <c r="DW344" s="57"/>
      <c r="DX344" s="57"/>
      <c r="DY344" s="57"/>
      <c r="DZ344" s="57"/>
      <c r="EA344" s="57"/>
      <c r="EB344" s="57"/>
      <c r="EC344" s="57"/>
      <c r="ED344" s="57"/>
      <c r="EE344" s="57"/>
      <c r="EF344" s="57"/>
      <c r="EG344" s="57"/>
      <c r="EH344" s="57"/>
      <c r="EI344" s="57"/>
      <c r="EJ344" s="57"/>
      <c r="EK344" s="57"/>
      <c r="EL344" s="57"/>
      <c r="EM344" s="57"/>
      <c r="EN344" s="57"/>
      <c r="EO344" s="57"/>
      <c r="EP344" s="57"/>
      <c r="EQ344" s="57"/>
      <c r="ER344" s="57"/>
      <c r="ES344" s="57"/>
      <c r="ET344" s="57"/>
      <c r="EU344" s="57"/>
    </row>
    <row r="345" spans="29:151" s="90" customFormat="1">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c r="DZ345" s="57"/>
      <c r="EA345" s="57"/>
      <c r="EB345" s="57"/>
      <c r="EC345" s="57"/>
      <c r="ED345" s="57"/>
      <c r="EE345" s="57"/>
      <c r="EF345" s="57"/>
      <c r="EG345" s="57"/>
      <c r="EH345" s="57"/>
      <c r="EI345" s="57"/>
      <c r="EJ345" s="57"/>
      <c r="EK345" s="57"/>
      <c r="EL345" s="57"/>
      <c r="EM345" s="57"/>
      <c r="EN345" s="57"/>
      <c r="EO345" s="57"/>
      <c r="EP345" s="57"/>
      <c r="EQ345" s="57"/>
      <c r="ER345" s="57"/>
      <c r="ES345" s="57"/>
      <c r="ET345" s="57"/>
      <c r="EU345" s="57"/>
    </row>
    <row r="346" spans="29:151" s="90" customFormat="1">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c r="DZ346" s="57"/>
      <c r="EA346" s="57"/>
      <c r="EB346" s="57"/>
      <c r="EC346" s="57"/>
      <c r="ED346" s="57"/>
      <c r="EE346" s="57"/>
      <c r="EF346" s="57"/>
      <c r="EG346" s="57"/>
      <c r="EH346" s="57"/>
      <c r="EI346" s="57"/>
      <c r="EJ346" s="57"/>
      <c r="EK346" s="57"/>
      <c r="EL346" s="57"/>
      <c r="EM346" s="57"/>
      <c r="EN346" s="57"/>
      <c r="EO346" s="57"/>
      <c r="EP346" s="57"/>
      <c r="EQ346" s="57"/>
      <c r="ER346" s="57"/>
      <c r="ES346" s="57"/>
      <c r="ET346" s="57"/>
      <c r="EU346" s="57"/>
    </row>
    <row r="347" spans="29:151" s="90" customFormat="1">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57"/>
      <c r="BL347" s="57"/>
      <c r="BM347" s="57"/>
      <c r="BN347" s="57"/>
      <c r="BO347" s="57"/>
      <c r="BP347" s="57"/>
      <c r="BQ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P347" s="57"/>
      <c r="DQ347" s="57"/>
      <c r="DR347" s="57"/>
      <c r="DS347" s="57"/>
      <c r="DT347" s="57"/>
      <c r="DU347" s="57"/>
      <c r="DV347" s="57"/>
      <c r="DW347" s="57"/>
      <c r="DX347" s="57"/>
      <c r="DY347" s="57"/>
      <c r="DZ347" s="57"/>
      <c r="EA347" s="57"/>
      <c r="EB347" s="57"/>
      <c r="EC347" s="57"/>
      <c r="ED347" s="57"/>
      <c r="EE347" s="57"/>
      <c r="EF347" s="57"/>
      <c r="EG347" s="57"/>
      <c r="EH347" s="57"/>
      <c r="EI347" s="57"/>
      <c r="EJ347" s="57"/>
      <c r="EK347" s="57"/>
      <c r="EL347" s="57"/>
      <c r="EM347" s="57"/>
      <c r="EN347" s="57"/>
      <c r="EO347" s="57"/>
      <c r="EP347" s="57"/>
      <c r="EQ347" s="57"/>
      <c r="ER347" s="57"/>
      <c r="ES347" s="57"/>
      <c r="ET347" s="57"/>
      <c r="EU347" s="57"/>
    </row>
    <row r="348" spans="29:151" s="90" customFormat="1">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7"/>
      <c r="BN348" s="57"/>
      <c r="BO348" s="57"/>
      <c r="BP348" s="57"/>
      <c r="BQ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P348" s="57"/>
      <c r="DQ348" s="57"/>
      <c r="DR348" s="57"/>
      <c r="DS348" s="57"/>
      <c r="DT348" s="57"/>
      <c r="DU348" s="57"/>
      <c r="DV348" s="57"/>
      <c r="DW348" s="57"/>
      <c r="DX348" s="57"/>
      <c r="DY348" s="57"/>
      <c r="DZ348" s="57"/>
      <c r="EA348" s="57"/>
      <c r="EB348" s="57"/>
      <c r="EC348" s="57"/>
      <c r="ED348" s="57"/>
      <c r="EE348" s="57"/>
      <c r="EF348" s="57"/>
      <c r="EG348" s="57"/>
      <c r="EH348" s="57"/>
      <c r="EI348" s="57"/>
      <c r="EJ348" s="57"/>
      <c r="EK348" s="57"/>
      <c r="EL348" s="57"/>
      <c r="EM348" s="57"/>
      <c r="EN348" s="57"/>
      <c r="EO348" s="57"/>
      <c r="EP348" s="57"/>
      <c r="EQ348" s="57"/>
      <c r="ER348" s="57"/>
      <c r="ES348" s="57"/>
      <c r="ET348" s="57"/>
      <c r="EU348" s="57"/>
    </row>
    <row r="349" spans="29:151" s="90" customFormat="1">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P349" s="57"/>
      <c r="DQ349" s="57"/>
      <c r="DR349" s="57"/>
      <c r="DS349" s="57"/>
      <c r="DT349" s="57"/>
      <c r="DU349" s="57"/>
      <c r="DV349" s="57"/>
      <c r="DW349" s="57"/>
      <c r="DX349" s="57"/>
      <c r="DY349" s="57"/>
      <c r="DZ349" s="57"/>
      <c r="EA349" s="57"/>
      <c r="EB349" s="57"/>
      <c r="EC349" s="57"/>
      <c r="ED349" s="57"/>
      <c r="EE349" s="57"/>
      <c r="EF349" s="57"/>
      <c r="EG349" s="57"/>
      <c r="EH349" s="57"/>
      <c r="EI349" s="57"/>
      <c r="EJ349" s="57"/>
      <c r="EK349" s="57"/>
      <c r="EL349" s="57"/>
      <c r="EM349" s="57"/>
      <c r="EN349" s="57"/>
      <c r="EO349" s="57"/>
      <c r="EP349" s="57"/>
      <c r="EQ349" s="57"/>
      <c r="ER349" s="57"/>
      <c r="ES349" s="57"/>
      <c r="ET349" s="57"/>
      <c r="EU349" s="57"/>
    </row>
    <row r="350" spans="29:151" s="90" customFormat="1">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57"/>
      <c r="BL350" s="57"/>
      <c r="BM350" s="57"/>
      <c r="BN350" s="57"/>
      <c r="BO350" s="57"/>
      <c r="BP350" s="57"/>
      <c r="BQ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P350" s="57"/>
      <c r="DQ350" s="57"/>
      <c r="DR350" s="57"/>
      <c r="DS350" s="57"/>
      <c r="DT350" s="57"/>
      <c r="DU350" s="57"/>
      <c r="DV350" s="57"/>
      <c r="DW350" s="57"/>
      <c r="DX350" s="57"/>
      <c r="DY350" s="57"/>
      <c r="DZ350" s="57"/>
      <c r="EA350" s="57"/>
      <c r="EB350" s="57"/>
      <c r="EC350" s="57"/>
      <c r="ED350" s="57"/>
      <c r="EE350" s="57"/>
      <c r="EF350" s="57"/>
      <c r="EG350" s="57"/>
      <c r="EH350" s="57"/>
      <c r="EI350" s="57"/>
      <c r="EJ350" s="57"/>
      <c r="EK350" s="57"/>
      <c r="EL350" s="57"/>
      <c r="EM350" s="57"/>
      <c r="EN350" s="57"/>
      <c r="EO350" s="57"/>
      <c r="EP350" s="57"/>
      <c r="EQ350" s="57"/>
      <c r="ER350" s="57"/>
      <c r="ES350" s="57"/>
      <c r="ET350" s="57"/>
      <c r="EU350" s="57"/>
    </row>
    <row r="351" spans="29:151" s="90" customFormat="1">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P351" s="57"/>
      <c r="DQ351" s="57"/>
      <c r="DR351" s="57"/>
      <c r="DS351" s="57"/>
      <c r="DT351" s="57"/>
      <c r="DU351" s="57"/>
      <c r="DV351" s="57"/>
      <c r="DW351" s="57"/>
      <c r="DX351" s="57"/>
      <c r="DY351" s="57"/>
      <c r="DZ351" s="57"/>
      <c r="EA351" s="57"/>
      <c r="EB351" s="57"/>
      <c r="EC351" s="57"/>
      <c r="ED351" s="57"/>
      <c r="EE351" s="57"/>
      <c r="EF351" s="57"/>
      <c r="EG351" s="57"/>
      <c r="EH351" s="57"/>
      <c r="EI351" s="57"/>
      <c r="EJ351" s="57"/>
      <c r="EK351" s="57"/>
      <c r="EL351" s="57"/>
      <c r="EM351" s="57"/>
      <c r="EN351" s="57"/>
      <c r="EO351" s="57"/>
      <c r="EP351" s="57"/>
      <c r="EQ351" s="57"/>
      <c r="ER351" s="57"/>
      <c r="ES351" s="57"/>
      <c r="ET351" s="57"/>
      <c r="EU351" s="57"/>
    </row>
    <row r="352" spans="29:151" s="90" customFormat="1">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57"/>
      <c r="BL352" s="57"/>
      <c r="BM352" s="57"/>
      <c r="BN352" s="57"/>
      <c r="BO352" s="57"/>
      <c r="BP352" s="57"/>
      <c r="BQ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P352" s="57"/>
      <c r="DQ352" s="57"/>
      <c r="DR352" s="57"/>
      <c r="DS352" s="57"/>
      <c r="DT352" s="57"/>
      <c r="DU352" s="57"/>
      <c r="DV352" s="57"/>
      <c r="DW352" s="57"/>
      <c r="DX352" s="57"/>
      <c r="DY352" s="57"/>
      <c r="DZ352" s="57"/>
      <c r="EA352" s="57"/>
      <c r="EB352" s="57"/>
      <c r="EC352" s="57"/>
      <c r="ED352" s="57"/>
      <c r="EE352" s="57"/>
      <c r="EF352" s="57"/>
      <c r="EG352" s="57"/>
      <c r="EH352" s="57"/>
      <c r="EI352" s="57"/>
      <c r="EJ352" s="57"/>
      <c r="EK352" s="57"/>
      <c r="EL352" s="57"/>
      <c r="EM352" s="57"/>
      <c r="EN352" s="57"/>
      <c r="EO352" s="57"/>
      <c r="EP352" s="57"/>
      <c r="EQ352" s="57"/>
      <c r="ER352" s="57"/>
      <c r="ES352" s="57"/>
      <c r="ET352" s="57"/>
      <c r="EU352" s="57"/>
    </row>
    <row r="353" spans="29:151" s="90" customFormat="1">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57"/>
      <c r="BL353" s="57"/>
      <c r="BM353" s="57"/>
      <c r="BN353" s="57"/>
      <c r="BO353" s="57"/>
      <c r="BP353" s="57"/>
      <c r="BQ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P353" s="57"/>
      <c r="DQ353" s="57"/>
      <c r="DR353" s="57"/>
      <c r="DS353" s="57"/>
      <c r="DT353" s="57"/>
      <c r="DU353" s="57"/>
      <c r="DV353" s="57"/>
      <c r="DW353" s="57"/>
      <c r="DX353" s="57"/>
      <c r="DY353" s="57"/>
      <c r="DZ353" s="57"/>
      <c r="EA353" s="57"/>
      <c r="EB353" s="57"/>
      <c r="EC353" s="57"/>
      <c r="ED353" s="57"/>
      <c r="EE353" s="57"/>
      <c r="EF353" s="57"/>
      <c r="EG353" s="57"/>
      <c r="EH353" s="57"/>
      <c r="EI353" s="57"/>
      <c r="EJ353" s="57"/>
      <c r="EK353" s="57"/>
      <c r="EL353" s="57"/>
      <c r="EM353" s="57"/>
      <c r="EN353" s="57"/>
      <c r="EO353" s="57"/>
      <c r="EP353" s="57"/>
      <c r="EQ353" s="57"/>
      <c r="ER353" s="57"/>
      <c r="ES353" s="57"/>
      <c r="ET353" s="57"/>
      <c r="EU353" s="57"/>
    </row>
    <row r="354" spans="29:151" s="90" customFormat="1">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7"/>
      <c r="BN354" s="57"/>
      <c r="BO354" s="57"/>
      <c r="BP354" s="57"/>
      <c r="BQ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P354" s="57"/>
      <c r="DQ354" s="57"/>
      <c r="DR354" s="57"/>
      <c r="DS354" s="57"/>
      <c r="DT354" s="57"/>
      <c r="DU354" s="57"/>
      <c r="DV354" s="57"/>
      <c r="DW354" s="57"/>
      <c r="DX354" s="57"/>
      <c r="DY354" s="57"/>
      <c r="DZ354" s="57"/>
      <c r="EA354" s="57"/>
      <c r="EB354" s="57"/>
      <c r="EC354" s="57"/>
      <c r="ED354" s="57"/>
      <c r="EE354" s="57"/>
      <c r="EF354" s="57"/>
      <c r="EG354" s="57"/>
      <c r="EH354" s="57"/>
      <c r="EI354" s="57"/>
      <c r="EJ354" s="57"/>
      <c r="EK354" s="57"/>
      <c r="EL354" s="57"/>
      <c r="EM354" s="57"/>
      <c r="EN354" s="57"/>
      <c r="EO354" s="57"/>
      <c r="EP354" s="57"/>
      <c r="EQ354" s="57"/>
      <c r="ER354" s="57"/>
      <c r="ES354" s="57"/>
      <c r="ET354" s="57"/>
      <c r="EU354" s="57"/>
    </row>
    <row r="355" spans="29:151" s="90" customFormat="1">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P355" s="57"/>
      <c r="DQ355" s="57"/>
      <c r="DR355" s="57"/>
      <c r="DS355" s="57"/>
      <c r="DT355" s="57"/>
      <c r="DU355" s="57"/>
      <c r="DV355" s="57"/>
      <c r="DW355" s="57"/>
      <c r="DX355" s="57"/>
      <c r="DY355" s="57"/>
      <c r="DZ355" s="57"/>
      <c r="EA355" s="57"/>
      <c r="EB355" s="57"/>
      <c r="EC355" s="57"/>
      <c r="ED355" s="57"/>
      <c r="EE355" s="57"/>
      <c r="EF355" s="57"/>
      <c r="EG355" s="57"/>
      <c r="EH355" s="57"/>
      <c r="EI355" s="57"/>
      <c r="EJ355" s="57"/>
      <c r="EK355" s="57"/>
      <c r="EL355" s="57"/>
      <c r="EM355" s="57"/>
      <c r="EN355" s="57"/>
      <c r="EO355" s="57"/>
      <c r="EP355" s="57"/>
      <c r="EQ355" s="57"/>
      <c r="ER355" s="57"/>
      <c r="ES355" s="57"/>
      <c r="ET355" s="57"/>
      <c r="EU355" s="57"/>
    </row>
    <row r="356" spans="29:151" s="90" customFormat="1">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P356" s="57"/>
      <c r="DQ356" s="57"/>
      <c r="DR356" s="57"/>
      <c r="DS356" s="57"/>
      <c r="DT356" s="57"/>
      <c r="DU356" s="57"/>
      <c r="DV356" s="57"/>
      <c r="DW356" s="57"/>
      <c r="DX356" s="57"/>
      <c r="DY356" s="57"/>
      <c r="DZ356" s="57"/>
      <c r="EA356" s="57"/>
      <c r="EB356" s="57"/>
      <c r="EC356" s="57"/>
      <c r="ED356" s="57"/>
      <c r="EE356" s="57"/>
      <c r="EF356" s="57"/>
      <c r="EG356" s="57"/>
      <c r="EH356" s="57"/>
      <c r="EI356" s="57"/>
      <c r="EJ356" s="57"/>
      <c r="EK356" s="57"/>
      <c r="EL356" s="57"/>
      <c r="EM356" s="57"/>
      <c r="EN356" s="57"/>
      <c r="EO356" s="57"/>
      <c r="EP356" s="57"/>
      <c r="EQ356" s="57"/>
      <c r="ER356" s="57"/>
      <c r="ES356" s="57"/>
      <c r="ET356" s="57"/>
      <c r="EU356" s="57"/>
    </row>
    <row r="357" spans="29:151" s="90" customFormat="1">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P357" s="57"/>
      <c r="DQ357" s="57"/>
      <c r="DR357" s="57"/>
      <c r="DS357" s="57"/>
      <c r="DT357" s="57"/>
      <c r="DU357" s="57"/>
      <c r="DV357" s="57"/>
      <c r="DW357" s="57"/>
      <c r="DX357" s="57"/>
      <c r="DY357" s="57"/>
      <c r="DZ357" s="57"/>
      <c r="EA357" s="57"/>
      <c r="EB357" s="57"/>
      <c r="EC357" s="57"/>
      <c r="ED357" s="57"/>
      <c r="EE357" s="57"/>
      <c r="EF357" s="57"/>
      <c r="EG357" s="57"/>
      <c r="EH357" s="57"/>
      <c r="EI357" s="57"/>
      <c r="EJ357" s="57"/>
      <c r="EK357" s="57"/>
      <c r="EL357" s="57"/>
      <c r="EM357" s="57"/>
      <c r="EN357" s="57"/>
      <c r="EO357" s="57"/>
      <c r="EP357" s="57"/>
      <c r="EQ357" s="57"/>
      <c r="ER357" s="57"/>
      <c r="ES357" s="57"/>
      <c r="ET357" s="57"/>
      <c r="EU357" s="57"/>
    </row>
    <row r="358" spans="29:151" s="90" customFormat="1">
      <c r="AC358" s="57"/>
      <c r="AD358" s="5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57"/>
      <c r="BL358" s="57"/>
      <c r="BM358" s="57"/>
      <c r="BN358" s="57"/>
      <c r="BO358" s="57"/>
      <c r="BP358" s="57"/>
      <c r="BQ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P358" s="57"/>
      <c r="DQ358" s="57"/>
      <c r="DR358" s="57"/>
      <c r="DS358" s="57"/>
      <c r="DT358" s="57"/>
      <c r="DU358" s="57"/>
      <c r="DV358" s="57"/>
      <c r="DW358" s="57"/>
      <c r="DX358" s="57"/>
      <c r="DY358" s="57"/>
      <c r="DZ358" s="57"/>
      <c r="EA358" s="57"/>
      <c r="EB358" s="57"/>
      <c r="EC358" s="57"/>
      <c r="ED358" s="57"/>
      <c r="EE358" s="57"/>
      <c r="EF358" s="57"/>
      <c r="EG358" s="57"/>
      <c r="EH358" s="57"/>
      <c r="EI358" s="57"/>
      <c r="EJ358" s="57"/>
      <c r="EK358" s="57"/>
      <c r="EL358" s="57"/>
      <c r="EM358" s="57"/>
      <c r="EN358" s="57"/>
      <c r="EO358" s="57"/>
      <c r="EP358" s="57"/>
      <c r="EQ358" s="57"/>
      <c r="ER358" s="57"/>
      <c r="ES358" s="57"/>
      <c r="ET358" s="57"/>
      <c r="EU358" s="57"/>
    </row>
    <row r="359" spans="29:151" s="90" customFormat="1">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57"/>
      <c r="BL359" s="57"/>
      <c r="BM359" s="57"/>
      <c r="BN359" s="57"/>
      <c r="BO359" s="57"/>
      <c r="BP359" s="57"/>
      <c r="BQ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P359" s="57"/>
      <c r="DQ359" s="57"/>
      <c r="DR359" s="57"/>
      <c r="DS359" s="57"/>
      <c r="DT359" s="57"/>
      <c r="DU359" s="57"/>
      <c r="DV359" s="57"/>
      <c r="DW359" s="57"/>
      <c r="DX359" s="57"/>
      <c r="DY359" s="57"/>
      <c r="DZ359" s="57"/>
      <c r="EA359" s="57"/>
      <c r="EB359" s="57"/>
      <c r="EC359" s="57"/>
      <c r="ED359" s="57"/>
      <c r="EE359" s="57"/>
      <c r="EF359" s="57"/>
      <c r="EG359" s="57"/>
      <c r="EH359" s="57"/>
      <c r="EI359" s="57"/>
      <c r="EJ359" s="57"/>
      <c r="EK359" s="57"/>
      <c r="EL359" s="57"/>
      <c r="EM359" s="57"/>
      <c r="EN359" s="57"/>
      <c r="EO359" s="57"/>
      <c r="EP359" s="57"/>
      <c r="EQ359" s="57"/>
      <c r="ER359" s="57"/>
      <c r="ES359" s="57"/>
      <c r="ET359" s="57"/>
      <c r="EU359" s="57"/>
    </row>
    <row r="360" spans="29:151" s="90" customFormat="1">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c r="BN360" s="57"/>
      <c r="BO360" s="57"/>
      <c r="BP360" s="57"/>
      <c r="BQ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P360" s="57"/>
      <c r="DQ360" s="57"/>
      <c r="DR360" s="57"/>
      <c r="DS360" s="57"/>
      <c r="DT360" s="57"/>
      <c r="DU360" s="57"/>
      <c r="DV360" s="57"/>
      <c r="DW360" s="57"/>
      <c r="DX360" s="57"/>
      <c r="DY360" s="57"/>
      <c r="DZ360" s="57"/>
      <c r="EA360" s="57"/>
      <c r="EB360" s="57"/>
      <c r="EC360" s="57"/>
      <c r="ED360" s="57"/>
      <c r="EE360" s="57"/>
      <c r="EF360" s="57"/>
      <c r="EG360" s="57"/>
      <c r="EH360" s="57"/>
      <c r="EI360" s="57"/>
      <c r="EJ360" s="57"/>
      <c r="EK360" s="57"/>
      <c r="EL360" s="57"/>
      <c r="EM360" s="57"/>
      <c r="EN360" s="57"/>
      <c r="EO360" s="57"/>
      <c r="EP360" s="57"/>
      <c r="EQ360" s="57"/>
      <c r="ER360" s="57"/>
      <c r="ES360" s="57"/>
      <c r="ET360" s="57"/>
      <c r="EU360" s="57"/>
    </row>
    <row r="361" spans="29:151" s="90" customFormat="1">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7"/>
      <c r="BN361" s="57"/>
      <c r="BO361" s="57"/>
      <c r="BP361" s="57"/>
      <c r="BQ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P361" s="57"/>
      <c r="DQ361" s="57"/>
      <c r="DR361" s="57"/>
      <c r="DS361" s="57"/>
      <c r="DT361" s="57"/>
      <c r="DU361" s="57"/>
      <c r="DV361" s="57"/>
      <c r="DW361" s="57"/>
      <c r="DX361" s="57"/>
      <c r="DY361" s="57"/>
      <c r="DZ361" s="57"/>
      <c r="EA361" s="57"/>
      <c r="EB361" s="57"/>
      <c r="EC361" s="57"/>
      <c r="ED361" s="57"/>
      <c r="EE361" s="57"/>
      <c r="EF361" s="57"/>
      <c r="EG361" s="57"/>
      <c r="EH361" s="57"/>
      <c r="EI361" s="57"/>
      <c r="EJ361" s="57"/>
      <c r="EK361" s="57"/>
      <c r="EL361" s="57"/>
      <c r="EM361" s="57"/>
      <c r="EN361" s="57"/>
      <c r="EO361" s="57"/>
      <c r="EP361" s="57"/>
      <c r="EQ361" s="57"/>
      <c r="ER361" s="57"/>
      <c r="ES361" s="57"/>
      <c r="ET361" s="57"/>
      <c r="EU361" s="57"/>
    </row>
    <row r="362" spans="29:151" s="90" customFormat="1">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c r="BN362" s="57"/>
      <c r="BO362" s="57"/>
      <c r="BP362" s="57"/>
      <c r="BQ362" s="57"/>
      <c r="BR362" s="57"/>
      <c r="BS362" s="57"/>
      <c r="BT362" s="57"/>
      <c r="BU362" s="57"/>
      <c r="BV362" s="57"/>
      <c r="BW362" s="57"/>
      <c r="BX362" s="57"/>
      <c r="BY362" s="57"/>
      <c r="BZ362" s="57"/>
      <c r="CA362" s="57"/>
      <c r="CB362" s="57"/>
      <c r="CC362" s="57"/>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P362" s="57"/>
      <c r="DQ362" s="57"/>
      <c r="DR362" s="57"/>
      <c r="DS362" s="57"/>
      <c r="DT362" s="57"/>
      <c r="DU362" s="57"/>
      <c r="DV362" s="57"/>
      <c r="DW362" s="57"/>
      <c r="DX362" s="57"/>
      <c r="DY362" s="57"/>
      <c r="DZ362" s="57"/>
      <c r="EA362" s="57"/>
      <c r="EB362" s="57"/>
      <c r="EC362" s="57"/>
      <c r="ED362" s="57"/>
      <c r="EE362" s="57"/>
      <c r="EF362" s="57"/>
      <c r="EG362" s="57"/>
      <c r="EH362" s="57"/>
      <c r="EI362" s="57"/>
      <c r="EJ362" s="57"/>
      <c r="EK362" s="57"/>
      <c r="EL362" s="57"/>
      <c r="EM362" s="57"/>
      <c r="EN362" s="57"/>
      <c r="EO362" s="57"/>
      <c r="EP362" s="57"/>
      <c r="EQ362" s="57"/>
      <c r="ER362" s="57"/>
      <c r="ES362" s="57"/>
      <c r="ET362" s="57"/>
      <c r="EU362" s="57"/>
    </row>
    <row r="363" spans="29:151" s="90" customFormat="1">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57"/>
      <c r="BN363" s="57"/>
      <c r="BO363" s="57"/>
      <c r="BP363" s="57"/>
      <c r="BQ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P363" s="57"/>
      <c r="DQ363" s="57"/>
      <c r="DR363" s="57"/>
      <c r="DS363" s="57"/>
      <c r="DT363" s="57"/>
      <c r="DU363" s="57"/>
      <c r="DV363" s="57"/>
      <c r="DW363" s="57"/>
      <c r="DX363" s="57"/>
      <c r="DY363" s="57"/>
      <c r="DZ363" s="57"/>
      <c r="EA363" s="57"/>
      <c r="EB363" s="57"/>
      <c r="EC363" s="57"/>
      <c r="ED363" s="57"/>
      <c r="EE363" s="57"/>
      <c r="EF363" s="57"/>
      <c r="EG363" s="57"/>
      <c r="EH363" s="57"/>
      <c r="EI363" s="57"/>
      <c r="EJ363" s="57"/>
      <c r="EK363" s="57"/>
      <c r="EL363" s="57"/>
      <c r="EM363" s="57"/>
      <c r="EN363" s="57"/>
      <c r="EO363" s="57"/>
      <c r="EP363" s="57"/>
      <c r="EQ363" s="57"/>
      <c r="ER363" s="57"/>
      <c r="ES363" s="57"/>
      <c r="ET363" s="57"/>
      <c r="EU363" s="57"/>
    </row>
    <row r="364" spans="29:151" s="90" customFormat="1">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c r="BN364" s="57"/>
      <c r="BO364" s="57"/>
      <c r="BP364" s="57"/>
      <c r="BQ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P364" s="57"/>
      <c r="DQ364" s="57"/>
      <c r="DR364" s="57"/>
      <c r="DS364" s="57"/>
      <c r="DT364" s="57"/>
      <c r="DU364" s="57"/>
      <c r="DV364" s="57"/>
      <c r="DW364" s="57"/>
      <c r="DX364" s="57"/>
      <c r="DY364" s="57"/>
      <c r="DZ364" s="57"/>
      <c r="EA364" s="57"/>
      <c r="EB364" s="57"/>
      <c r="EC364" s="57"/>
      <c r="ED364" s="57"/>
      <c r="EE364" s="57"/>
      <c r="EF364" s="57"/>
      <c r="EG364" s="57"/>
      <c r="EH364" s="57"/>
      <c r="EI364" s="57"/>
      <c r="EJ364" s="57"/>
      <c r="EK364" s="57"/>
      <c r="EL364" s="57"/>
      <c r="EM364" s="57"/>
      <c r="EN364" s="57"/>
      <c r="EO364" s="57"/>
      <c r="EP364" s="57"/>
      <c r="EQ364" s="57"/>
      <c r="ER364" s="57"/>
      <c r="ES364" s="57"/>
      <c r="ET364" s="57"/>
      <c r="EU364" s="57"/>
    </row>
    <row r="365" spans="29:151" s="90" customFormat="1">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57"/>
      <c r="BL365" s="57"/>
      <c r="BM365" s="57"/>
      <c r="BN365" s="57"/>
      <c r="BO365" s="57"/>
      <c r="BP365" s="57"/>
      <c r="BQ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P365" s="57"/>
      <c r="DQ365" s="57"/>
      <c r="DR365" s="57"/>
      <c r="DS365" s="57"/>
      <c r="DT365" s="57"/>
      <c r="DU365" s="57"/>
      <c r="DV365" s="57"/>
      <c r="DW365" s="57"/>
      <c r="DX365" s="57"/>
      <c r="DY365" s="57"/>
      <c r="DZ365" s="57"/>
      <c r="EA365" s="57"/>
      <c r="EB365" s="57"/>
      <c r="EC365" s="57"/>
      <c r="ED365" s="57"/>
      <c r="EE365" s="57"/>
      <c r="EF365" s="57"/>
      <c r="EG365" s="57"/>
      <c r="EH365" s="57"/>
      <c r="EI365" s="57"/>
      <c r="EJ365" s="57"/>
      <c r="EK365" s="57"/>
      <c r="EL365" s="57"/>
      <c r="EM365" s="57"/>
      <c r="EN365" s="57"/>
      <c r="EO365" s="57"/>
      <c r="EP365" s="57"/>
      <c r="EQ365" s="57"/>
      <c r="ER365" s="57"/>
      <c r="ES365" s="57"/>
      <c r="ET365" s="57"/>
      <c r="EU365" s="57"/>
    </row>
    <row r="366" spans="29:151" s="90" customFormat="1">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c r="BN366" s="57"/>
      <c r="BO366" s="57"/>
      <c r="BP366" s="57"/>
      <c r="BQ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P366" s="57"/>
      <c r="DQ366" s="57"/>
      <c r="DR366" s="57"/>
      <c r="DS366" s="57"/>
      <c r="DT366" s="57"/>
      <c r="DU366" s="57"/>
      <c r="DV366" s="57"/>
      <c r="DW366" s="57"/>
      <c r="DX366" s="57"/>
      <c r="DY366" s="57"/>
      <c r="DZ366" s="57"/>
      <c r="EA366" s="57"/>
      <c r="EB366" s="57"/>
      <c r="EC366" s="57"/>
      <c r="ED366" s="57"/>
      <c r="EE366" s="57"/>
      <c r="EF366" s="57"/>
      <c r="EG366" s="57"/>
      <c r="EH366" s="57"/>
      <c r="EI366" s="57"/>
      <c r="EJ366" s="57"/>
      <c r="EK366" s="57"/>
      <c r="EL366" s="57"/>
      <c r="EM366" s="57"/>
      <c r="EN366" s="57"/>
      <c r="EO366" s="57"/>
      <c r="EP366" s="57"/>
      <c r="EQ366" s="57"/>
      <c r="ER366" s="57"/>
      <c r="ES366" s="57"/>
      <c r="ET366" s="57"/>
      <c r="EU366" s="57"/>
    </row>
    <row r="367" spans="29:151" s="90" customFormat="1">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7"/>
      <c r="BN367" s="57"/>
      <c r="BO367" s="57"/>
      <c r="BP367" s="57"/>
      <c r="BQ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P367" s="57"/>
      <c r="DQ367" s="57"/>
      <c r="DR367" s="57"/>
      <c r="DS367" s="57"/>
      <c r="DT367" s="57"/>
      <c r="DU367" s="57"/>
      <c r="DV367" s="57"/>
      <c r="DW367" s="57"/>
      <c r="DX367" s="57"/>
      <c r="DY367" s="57"/>
      <c r="DZ367" s="57"/>
      <c r="EA367" s="57"/>
      <c r="EB367" s="57"/>
      <c r="EC367" s="57"/>
      <c r="ED367" s="57"/>
      <c r="EE367" s="57"/>
      <c r="EF367" s="57"/>
      <c r="EG367" s="57"/>
      <c r="EH367" s="57"/>
      <c r="EI367" s="57"/>
      <c r="EJ367" s="57"/>
      <c r="EK367" s="57"/>
      <c r="EL367" s="57"/>
      <c r="EM367" s="57"/>
      <c r="EN367" s="57"/>
      <c r="EO367" s="57"/>
      <c r="EP367" s="57"/>
      <c r="EQ367" s="57"/>
      <c r="ER367" s="57"/>
      <c r="ES367" s="57"/>
      <c r="ET367" s="57"/>
      <c r="EU367" s="57"/>
    </row>
    <row r="368" spans="29:151" s="90" customFormat="1">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7"/>
      <c r="BN368" s="57"/>
      <c r="BO368" s="57"/>
      <c r="BP368" s="57"/>
      <c r="BQ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P368" s="57"/>
      <c r="DQ368" s="57"/>
      <c r="DR368" s="57"/>
      <c r="DS368" s="57"/>
      <c r="DT368" s="57"/>
      <c r="DU368" s="57"/>
      <c r="DV368" s="57"/>
      <c r="DW368" s="57"/>
      <c r="DX368" s="57"/>
      <c r="DY368" s="57"/>
      <c r="DZ368" s="57"/>
      <c r="EA368" s="57"/>
      <c r="EB368" s="57"/>
      <c r="EC368" s="57"/>
      <c r="ED368" s="57"/>
      <c r="EE368" s="57"/>
      <c r="EF368" s="57"/>
      <c r="EG368" s="57"/>
      <c r="EH368" s="57"/>
      <c r="EI368" s="57"/>
      <c r="EJ368" s="57"/>
      <c r="EK368" s="57"/>
      <c r="EL368" s="57"/>
      <c r="EM368" s="57"/>
      <c r="EN368" s="57"/>
      <c r="EO368" s="57"/>
      <c r="EP368" s="57"/>
      <c r="EQ368" s="57"/>
      <c r="ER368" s="57"/>
      <c r="ES368" s="57"/>
      <c r="ET368" s="57"/>
      <c r="EU368" s="57"/>
    </row>
    <row r="369" spans="29:151" s="90" customFormat="1">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7"/>
      <c r="BN369" s="57"/>
      <c r="BO369" s="57"/>
      <c r="BP369" s="57"/>
      <c r="BQ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P369" s="57"/>
      <c r="DQ369" s="57"/>
      <c r="DR369" s="57"/>
      <c r="DS369" s="57"/>
      <c r="DT369" s="57"/>
      <c r="DU369" s="57"/>
      <c r="DV369" s="57"/>
      <c r="DW369" s="57"/>
      <c r="DX369" s="57"/>
      <c r="DY369" s="57"/>
      <c r="DZ369" s="57"/>
      <c r="EA369" s="57"/>
      <c r="EB369" s="57"/>
      <c r="EC369" s="57"/>
      <c r="ED369" s="57"/>
      <c r="EE369" s="57"/>
      <c r="EF369" s="57"/>
      <c r="EG369" s="57"/>
      <c r="EH369" s="57"/>
      <c r="EI369" s="57"/>
      <c r="EJ369" s="57"/>
      <c r="EK369" s="57"/>
      <c r="EL369" s="57"/>
      <c r="EM369" s="57"/>
      <c r="EN369" s="57"/>
      <c r="EO369" s="57"/>
      <c r="EP369" s="57"/>
      <c r="EQ369" s="57"/>
      <c r="ER369" s="57"/>
      <c r="ES369" s="57"/>
      <c r="ET369" s="57"/>
      <c r="EU369" s="57"/>
    </row>
    <row r="370" spans="29:151" s="90" customFormat="1">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c r="BN370" s="57"/>
      <c r="BO370" s="57"/>
      <c r="BP370" s="57"/>
      <c r="BQ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P370" s="57"/>
      <c r="DQ370" s="57"/>
      <c r="DR370" s="57"/>
      <c r="DS370" s="57"/>
      <c r="DT370" s="57"/>
      <c r="DU370" s="57"/>
      <c r="DV370" s="57"/>
      <c r="DW370" s="57"/>
      <c r="DX370" s="57"/>
      <c r="DY370" s="57"/>
      <c r="DZ370" s="57"/>
      <c r="EA370" s="57"/>
      <c r="EB370" s="57"/>
      <c r="EC370" s="57"/>
      <c r="ED370" s="57"/>
      <c r="EE370" s="57"/>
      <c r="EF370" s="57"/>
      <c r="EG370" s="57"/>
      <c r="EH370" s="57"/>
      <c r="EI370" s="57"/>
      <c r="EJ370" s="57"/>
      <c r="EK370" s="57"/>
      <c r="EL370" s="57"/>
      <c r="EM370" s="57"/>
      <c r="EN370" s="57"/>
      <c r="EO370" s="57"/>
      <c r="EP370" s="57"/>
      <c r="EQ370" s="57"/>
      <c r="ER370" s="57"/>
      <c r="ES370" s="57"/>
      <c r="ET370" s="57"/>
      <c r="EU370" s="57"/>
    </row>
    <row r="371" spans="29:151" s="90" customFormat="1">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57"/>
      <c r="BL371" s="57"/>
      <c r="BM371" s="57"/>
      <c r="BN371" s="57"/>
      <c r="BO371" s="57"/>
      <c r="BP371" s="57"/>
      <c r="BQ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P371" s="57"/>
      <c r="DQ371" s="57"/>
      <c r="DR371" s="57"/>
      <c r="DS371" s="57"/>
      <c r="DT371" s="57"/>
      <c r="DU371" s="57"/>
      <c r="DV371" s="57"/>
      <c r="DW371" s="57"/>
      <c r="DX371" s="57"/>
      <c r="DY371" s="57"/>
      <c r="DZ371" s="57"/>
      <c r="EA371" s="57"/>
      <c r="EB371" s="57"/>
      <c r="EC371" s="57"/>
      <c r="ED371" s="57"/>
      <c r="EE371" s="57"/>
      <c r="EF371" s="57"/>
      <c r="EG371" s="57"/>
      <c r="EH371" s="57"/>
      <c r="EI371" s="57"/>
      <c r="EJ371" s="57"/>
      <c r="EK371" s="57"/>
      <c r="EL371" s="57"/>
      <c r="EM371" s="57"/>
      <c r="EN371" s="57"/>
      <c r="EO371" s="57"/>
      <c r="EP371" s="57"/>
      <c r="EQ371" s="57"/>
      <c r="ER371" s="57"/>
      <c r="ES371" s="57"/>
      <c r="ET371" s="57"/>
      <c r="EU371" s="57"/>
    </row>
    <row r="372" spans="29:151" s="90" customFormat="1">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7"/>
      <c r="BY372" s="57"/>
      <c r="BZ372" s="57"/>
      <c r="CA372" s="57"/>
      <c r="CB372" s="57"/>
      <c r="CC372" s="57"/>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P372" s="57"/>
      <c r="DQ372" s="57"/>
      <c r="DR372" s="57"/>
      <c r="DS372" s="57"/>
      <c r="DT372" s="57"/>
      <c r="DU372" s="57"/>
      <c r="DV372" s="57"/>
      <c r="DW372" s="57"/>
      <c r="DX372" s="57"/>
      <c r="DY372" s="57"/>
      <c r="DZ372" s="57"/>
      <c r="EA372" s="57"/>
      <c r="EB372" s="57"/>
      <c r="EC372" s="57"/>
      <c r="ED372" s="57"/>
      <c r="EE372" s="57"/>
      <c r="EF372" s="57"/>
      <c r="EG372" s="57"/>
      <c r="EH372" s="57"/>
      <c r="EI372" s="57"/>
      <c r="EJ372" s="57"/>
      <c r="EK372" s="57"/>
      <c r="EL372" s="57"/>
      <c r="EM372" s="57"/>
      <c r="EN372" s="57"/>
      <c r="EO372" s="57"/>
      <c r="EP372" s="57"/>
      <c r="EQ372" s="57"/>
      <c r="ER372" s="57"/>
      <c r="ES372" s="57"/>
      <c r="ET372" s="57"/>
      <c r="EU372" s="57"/>
    </row>
    <row r="373" spans="29:151" s="90" customFormat="1">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57"/>
      <c r="BL373" s="57"/>
      <c r="BM373" s="57"/>
      <c r="BN373" s="57"/>
      <c r="BO373" s="57"/>
      <c r="BP373" s="57"/>
      <c r="BQ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P373" s="57"/>
      <c r="DQ373" s="57"/>
      <c r="DR373" s="57"/>
      <c r="DS373" s="57"/>
      <c r="DT373" s="57"/>
      <c r="DU373" s="57"/>
      <c r="DV373" s="57"/>
      <c r="DW373" s="57"/>
      <c r="DX373" s="57"/>
      <c r="DY373" s="57"/>
      <c r="DZ373" s="57"/>
      <c r="EA373" s="57"/>
      <c r="EB373" s="57"/>
      <c r="EC373" s="57"/>
      <c r="ED373" s="57"/>
      <c r="EE373" s="57"/>
      <c r="EF373" s="57"/>
      <c r="EG373" s="57"/>
      <c r="EH373" s="57"/>
      <c r="EI373" s="57"/>
      <c r="EJ373" s="57"/>
      <c r="EK373" s="57"/>
      <c r="EL373" s="57"/>
      <c r="EM373" s="57"/>
      <c r="EN373" s="57"/>
      <c r="EO373" s="57"/>
      <c r="EP373" s="57"/>
      <c r="EQ373" s="57"/>
      <c r="ER373" s="57"/>
      <c r="ES373" s="57"/>
      <c r="ET373" s="57"/>
      <c r="EU373" s="57"/>
    </row>
    <row r="374" spans="29:151" s="90" customFormat="1">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57"/>
      <c r="BL374" s="57"/>
      <c r="BM374" s="57"/>
      <c r="BN374" s="57"/>
      <c r="BO374" s="57"/>
      <c r="BP374" s="57"/>
      <c r="BQ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P374" s="57"/>
      <c r="DQ374" s="57"/>
      <c r="DR374" s="57"/>
      <c r="DS374" s="57"/>
      <c r="DT374" s="57"/>
      <c r="DU374" s="57"/>
      <c r="DV374" s="57"/>
      <c r="DW374" s="57"/>
      <c r="DX374" s="57"/>
      <c r="DY374" s="57"/>
      <c r="DZ374" s="57"/>
      <c r="EA374" s="57"/>
      <c r="EB374" s="57"/>
      <c r="EC374" s="57"/>
      <c r="ED374" s="57"/>
      <c r="EE374" s="57"/>
      <c r="EF374" s="57"/>
      <c r="EG374" s="57"/>
      <c r="EH374" s="57"/>
      <c r="EI374" s="57"/>
      <c r="EJ374" s="57"/>
      <c r="EK374" s="57"/>
      <c r="EL374" s="57"/>
      <c r="EM374" s="57"/>
      <c r="EN374" s="57"/>
      <c r="EO374" s="57"/>
      <c r="EP374" s="57"/>
      <c r="EQ374" s="57"/>
      <c r="ER374" s="57"/>
      <c r="ES374" s="57"/>
      <c r="ET374" s="57"/>
      <c r="EU374" s="57"/>
    </row>
    <row r="375" spans="29:151" s="90" customFormat="1">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57"/>
      <c r="BL375" s="57"/>
      <c r="BM375" s="57"/>
      <c r="BN375" s="57"/>
      <c r="BO375" s="57"/>
      <c r="BP375" s="57"/>
      <c r="BQ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P375" s="57"/>
      <c r="DQ375" s="57"/>
      <c r="DR375" s="57"/>
      <c r="DS375" s="57"/>
      <c r="DT375" s="57"/>
      <c r="DU375" s="57"/>
      <c r="DV375" s="57"/>
      <c r="DW375" s="57"/>
      <c r="DX375" s="57"/>
      <c r="DY375" s="57"/>
      <c r="DZ375" s="57"/>
      <c r="EA375" s="57"/>
      <c r="EB375" s="57"/>
      <c r="EC375" s="57"/>
      <c r="ED375" s="57"/>
      <c r="EE375" s="57"/>
      <c r="EF375" s="57"/>
      <c r="EG375" s="57"/>
      <c r="EH375" s="57"/>
      <c r="EI375" s="57"/>
      <c r="EJ375" s="57"/>
      <c r="EK375" s="57"/>
      <c r="EL375" s="57"/>
      <c r="EM375" s="57"/>
      <c r="EN375" s="57"/>
      <c r="EO375" s="57"/>
      <c r="EP375" s="57"/>
      <c r="EQ375" s="57"/>
      <c r="ER375" s="57"/>
      <c r="ES375" s="57"/>
      <c r="ET375" s="57"/>
      <c r="EU375" s="57"/>
    </row>
    <row r="376" spans="29:151" s="90" customFormat="1">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57"/>
      <c r="BL376" s="57"/>
      <c r="BM376" s="57"/>
      <c r="BN376" s="57"/>
      <c r="BO376" s="57"/>
      <c r="BP376" s="57"/>
      <c r="BQ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P376" s="57"/>
      <c r="DQ376" s="57"/>
      <c r="DR376" s="57"/>
      <c r="DS376" s="57"/>
      <c r="DT376" s="57"/>
      <c r="DU376" s="57"/>
      <c r="DV376" s="57"/>
      <c r="DW376" s="57"/>
      <c r="DX376" s="57"/>
      <c r="DY376" s="57"/>
      <c r="DZ376" s="57"/>
      <c r="EA376" s="57"/>
      <c r="EB376" s="57"/>
      <c r="EC376" s="57"/>
      <c r="ED376" s="57"/>
      <c r="EE376" s="57"/>
      <c r="EF376" s="57"/>
      <c r="EG376" s="57"/>
      <c r="EH376" s="57"/>
      <c r="EI376" s="57"/>
      <c r="EJ376" s="57"/>
      <c r="EK376" s="57"/>
      <c r="EL376" s="57"/>
      <c r="EM376" s="57"/>
      <c r="EN376" s="57"/>
      <c r="EO376" s="57"/>
      <c r="EP376" s="57"/>
      <c r="EQ376" s="57"/>
      <c r="ER376" s="57"/>
      <c r="ES376" s="57"/>
      <c r="ET376" s="57"/>
      <c r="EU376" s="57"/>
    </row>
    <row r="377" spans="29:151" s="90" customFormat="1">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P377" s="57"/>
      <c r="DQ377" s="57"/>
      <c r="DR377" s="57"/>
      <c r="DS377" s="57"/>
      <c r="DT377" s="57"/>
      <c r="DU377" s="57"/>
      <c r="DV377" s="57"/>
      <c r="DW377" s="57"/>
      <c r="DX377" s="57"/>
      <c r="DY377" s="57"/>
      <c r="DZ377" s="57"/>
      <c r="EA377" s="57"/>
      <c r="EB377" s="57"/>
      <c r="EC377" s="57"/>
      <c r="ED377" s="57"/>
      <c r="EE377" s="57"/>
      <c r="EF377" s="57"/>
      <c r="EG377" s="57"/>
      <c r="EH377" s="57"/>
      <c r="EI377" s="57"/>
      <c r="EJ377" s="57"/>
      <c r="EK377" s="57"/>
      <c r="EL377" s="57"/>
      <c r="EM377" s="57"/>
      <c r="EN377" s="57"/>
      <c r="EO377" s="57"/>
      <c r="EP377" s="57"/>
      <c r="EQ377" s="57"/>
      <c r="ER377" s="57"/>
      <c r="ES377" s="57"/>
      <c r="ET377" s="57"/>
      <c r="EU377" s="57"/>
    </row>
    <row r="378" spans="29:151" s="90" customFormat="1">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57"/>
      <c r="BL378" s="57"/>
      <c r="BM378" s="57"/>
      <c r="BN378" s="57"/>
      <c r="BO378" s="57"/>
      <c r="BP378" s="57"/>
      <c r="BQ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P378" s="57"/>
      <c r="DQ378" s="57"/>
      <c r="DR378" s="57"/>
      <c r="DS378" s="57"/>
      <c r="DT378" s="57"/>
      <c r="DU378" s="57"/>
      <c r="DV378" s="57"/>
      <c r="DW378" s="57"/>
      <c r="DX378" s="57"/>
      <c r="DY378" s="57"/>
      <c r="DZ378" s="57"/>
      <c r="EA378" s="57"/>
      <c r="EB378" s="57"/>
      <c r="EC378" s="57"/>
      <c r="ED378" s="57"/>
      <c r="EE378" s="57"/>
      <c r="EF378" s="57"/>
      <c r="EG378" s="57"/>
      <c r="EH378" s="57"/>
      <c r="EI378" s="57"/>
      <c r="EJ378" s="57"/>
      <c r="EK378" s="57"/>
      <c r="EL378" s="57"/>
      <c r="EM378" s="57"/>
      <c r="EN378" s="57"/>
      <c r="EO378" s="57"/>
      <c r="EP378" s="57"/>
      <c r="EQ378" s="57"/>
      <c r="ER378" s="57"/>
      <c r="ES378" s="57"/>
      <c r="ET378" s="57"/>
      <c r="EU378" s="57"/>
    </row>
    <row r="379" spans="29:151" s="90" customFormat="1">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57"/>
      <c r="BL379" s="57"/>
      <c r="BM379" s="57"/>
      <c r="BN379" s="57"/>
      <c r="BO379" s="57"/>
      <c r="BP379" s="57"/>
      <c r="BQ379" s="57"/>
      <c r="BR379" s="57"/>
      <c r="BS379" s="57"/>
      <c r="BT379" s="57"/>
      <c r="BU379" s="57"/>
      <c r="BV379" s="57"/>
      <c r="BW379" s="57"/>
      <c r="BX379" s="57"/>
      <c r="BY379" s="57"/>
      <c r="BZ379" s="57"/>
      <c r="CA379" s="57"/>
      <c r="CB379" s="57"/>
      <c r="CC379" s="57"/>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P379" s="57"/>
      <c r="DQ379" s="57"/>
      <c r="DR379" s="57"/>
      <c r="DS379" s="57"/>
      <c r="DT379" s="57"/>
      <c r="DU379" s="57"/>
      <c r="DV379" s="57"/>
      <c r="DW379" s="57"/>
      <c r="DX379" s="57"/>
      <c r="DY379" s="57"/>
      <c r="DZ379" s="57"/>
      <c r="EA379" s="57"/>
      <c r="EB379" s="57"/>
      <c r="EC379" s="57"/>
      <c r="ED379" s="57"/>
      <c r="EE379" s="57"/>
      <c r="EF379" s="57"/>
      <c r="EG379" s="57"/>
      <c r="EH379" s="57"/>
      <c r="EI379" s="57"/>
      <c r="EJ379" s="57"/>
      <c r="EK379" s="57"/>
      <c r="EL379" s="57"/>
      <c r="EM379" s="57"/>
      <c r="EN379" s="57"/>
      <c r="EO379" s="57"/>
      <c r="EP379" s="57"/>
      <c r="EQ379" s="57"/>
      <c r="ER379" s="57"/>
      <c r="ES379" s="57"/>
      <c r="ET379" s="57"/>
      <c r="EU379" s="57"/>
    </row>
    <row r="380" spans="29:151" s="90" customFormat="1">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57"/>
      <c r="BL380" s="57"/>
      <c r="BM380" s="57"/>
      <c r="BN380" s="57"/>
      <c r="BO380" s="57"/>
      <c r="BP380" s="57"/>
      <c r="BQ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P380" s="57"/>
      <c r="DQ380" s="57"/>
      <c r="DR380" s="57"/>
      <c r="DS380" s="57"/>
      <c r="DT380" s="57"/>
      <c r="DU380" s="57"/>
      <c r="DV380" s="57"/>
      <c r="DW380" s="57"/>
      <c r="DX380" s="57"/>
      <c r="DY380" s="57"/>
      <c r="DZ380" s="57"/>
      <c r="EA380" s="57"/>
      <c r="EB380" s="57"/>
      <c r="EC380" s="57"/>
      <c r="ED380" s="57"/>
      <c r="EE380" s="57"/>
      <c r="EF380" s="57"/>
      <c r="EG380" s="57"/>
      <c r="EH380" s="57"/>
      <c r="EI380" s="57"/>
      <c r="EJ380" s="57"/>
      <c r="EK380" s="57"/>
      <c r="EL380" s="57"/>
      <c r="EM380" s="57"/>
      <c r="EN380" s="57"/>
      <c r="EO380" s="57"/>
      <c r="EP380" s="57"/>
      <c r="EQ380" s="57"/>
      <c r="ER380" s="57"/>
      <c r="ES380" s="57"/>
      <c r="ET380" s="57"/>
      <c r="EU380" s="57"/>
    </row>
    <row r="381" spans="29:151" s="90" customFormat="1">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7"/>
      <c r="BN381" s="57"/>
      <c r="BO381" s="57"/>
      <c r="BP381" s="57"/>
      <c r="BQ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P381" s="57"/>
      <c r="DQ381" s="57"/>
      <c r="DR381" s="57"/>
      <c r="DS381" s="57"/>
      <c r="DT381" s="57"/>
      <c r="DU381" s="57"/>
      <c r="DV381" s="57"/>
      <c r="DW381" s="57"/>
      <c r="DX381" s="57"/>
      <c r="DY381" s="57"/>
      <c r="DZ381" s="57"/>
      <c r="EA381" s="57"/>
      <c r="EB381" s="57"/>
      <c r="EC381" s="57"/>
      <c r="ED381" s="57"/>
      <c r="EE381" s="57"/>
      <c r="EF381" s="57"/>
      <c r="EG381" s="57"/>
      <c r="EH381" s="57"/>
      <c r="EI381" s="57"/>
      <c r="EJ381" s="57"/>
      <c r="EK381" s="57"/>
      <c r="EL381" s="57"/>
      <c r="EM381" s="57"/>
      <c r="EN381" s="57"/>
      <c r="EO381" s="57"/>
      <c r="EP381" s="57"/>
      <c r="EQ381" s="57"/>
      <c r="ER381" s="57"/>
      <c r="ES381" s="57"/>
      <c r="ET381" s="57"/>
      <c r="EU381" s="57"/>
    </row>
    <row r="382" spans="29:151" s="90" customFormat="1">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c r="BN382" s="57"/>
      <c r="BO382" s="57"/>
      <c r="BP382" s="57"/>
      <c r="BQ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P382" s="57"/>
      <c r="DQ382" s="57"/>
      <c r="DR382" s="57"/>
      <c r="DS382" s="57"/>
      <c r="DT382" s="57"/>
      <c r="DU382" s="57"/>
      <c r="DV382" s="57"/>
      <c r="DW382" s="57"/>
      <c r="DX382" s="57"/>
      <c r="DY382" s="57"/>
      <c r="DZ382" s="57"/>
      <c r="EA382" s="57"/>
      <c r="EB382" s="57"/>
      <c r="EC382" s="57"/>
      <c r="ED382" s="57"/>
      <c r="EE382" s="57"/>
      <c r="EF382" s="57"/>
      <c r="EG382" s="57"/>
      <c r="EH382" s="57"/>
      <c r="EI382" s="57"/>
      <c r="EJ382" s="57"/>
      <c r="EK382" s="57"/>
      <c r="EL382" s="57"/>
      <c r="EM382" s="57"/>
      <c r="EN382" s="57"/>
      <c r="EO382" s="57"/>
      <c r="EP382" s="57"/>
      <c r="EQ382" s="57"/>
      <c r="ER382" s="57"/>
      <c r="ES382" s="57"/>
      <c r="ET382" s="57"/>
      <c r="EU382" s="57"/>
    </row>
    <row r="383" spans="29:151" s="90" customFormat="1">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7"/>
      <c r="BN383" s="57"/>
      <c r="BO383" s="57"/>
      <c r="BP383" s="57"/>
      <c r="BQ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P383" s="57"/>
      <c r="DQ383" s="57"/>
      <c r="DR383" s="57"/>
      <c r="DS383" s="57"/>
      <c r="DT383" s="57"/>
      <c r="DU383" s="57"/>
      <c r="DV383" s="57"/>
      <c r="DW383" s="57"/>
      <c r="DX383" s="57"/>
      <c r="DY383" s="57"/>
      <c r="DZ383" s="57"/>
      <c r="EA383" s="57"/>
      <c r="EB383" s="57"/>
      <c r="EC383" s="57"/>
      <c r="ED383" s="57"/>
      <c r="EE383" s="57"/>
      <c r="EF383" s="57"/>
      <c r="EG383" s="57"/>
      <c r="EH383" s="57"/>
      <c r="EI383" s="57"/>
      <c r="EJ383" s="57"/>
      <c r="EK383" s="57"/>
      <c r="EL383" s="57"/>
      <c r="EM383" s="57"/>
      <c r="EN383" s="57"/>
      <c r="EO383" s="57"/>
      <c r="EP383" s="57"/>
      <c r="EQ383" s="57"/>
      <c r="ER383" s="57"/>
      <c r="ES383" s="57"/>
      <c r="ET383" s="57"/>
      <c r="EU383" s="57"/>
    </row>
    <row r="384" spans="29:151" s="90" customFormat="1">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c r="BN384" s="57"/>
      <c r="BO384" s="57"/>
      <c r="BP384" s="57"/>
      <c r="BQ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P384" s="57"/>
      <c r="DQ384" s="57"/>
      <c r="DR384" s="57"/>
      <c r="DS384" s="57"/>
      <c r="DT384" s="57"/>
      <c r="DU384" s="57"/>
      <c r="DV384" s="57"/>
      <c r="DW384" s="57"/>
      <c r="DX384" s="57"/>
      <c r="DY384" s="57"/>
      <c r="DZ384" s="57"/>
      <c r="EA384" s="57"/>
      <c r="EB384" s="57"/>
      <c r="EC384" s="57"/>
      <c r="ED384" s="57"/>
      <c r="EE384" s="57"/>
      <c r="EF384" s="57"/>
      <c r="EG384" s="57"/>
      <c r="EH384" s="57"/>
      <c r="EI384" s="57"/>
      <c r="EJ384" s="57"/>
      <c r="EK384" s="57"/>
      <c r="EL384" s="57"/>
      <c r="EM384" s="57"/>
      <c r="EN384" s="57"/>
      <c r="EO384" s="57"/>
      <c r="EP384" s="57"/>
      <c r="EQ384" s="57"/>
      <c r="ER384" s="57"/>
      <c r="ES384" s="57"/>
      <c r="ET384" s="57"/>
      <c r="EU384" s="57"/>
    </row>
    <row r="385" spans="29:151" s="90" customFormat="1">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57"/>
      <c r="BL385" s="57"/>
      <c r="BM385" s="57"/>
      <c r="BN385" s="57"/>
      <c r="BO385" s="57"/>
      <c r="BP385" s="57"/>
      <c r="BQ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P385" s="57"/>
      <c r="DQ385" s="57"/>
      <c r="DR385" s="57"/>
      <c r="DS385" s="57"/>
      <c r="DT385" s="57"/>
      <c r="DU385" s="57"/>
      <c r="DV385" s="57"/>
      <c r="DW385" s="57"/>
      <c r="DX385" s="57"/>
      <c r="DY385" s="57"/>
      <c r="DZ385" s="57"/>
      <c r="EA385" s="57"/>
      <c r="EB385" s="57"/>
      <c r="EC385" s="57"/>
      <c r="ED385" s="57"/>
      <c r="EE385" s="57"/>
      <c r="EF385" s="57"/>
      <c r="EG385" s="57"/>
      <c r="EH385" s="57"/>
      <c r="EI385" s="57"/>
      <c r="EJ385" s="57"/>
      <c r="EK385" s="57"/>
      <c r="EL385" s="57"/>
      <c r="EM385" s="57"/>
      <c r="EN385" s="57"/>
      <c r="EO385" s="57"/>
      <c r="EP385" s="57"/>
      <c r="EQ385" s="57"/>
      <c r="ER385" s="57"/>
      <c r="ES385" s="57"/>
      <c r="ET385" s="57"/>
      <c r="EU385" s="57"/>
    </row>
  </sheetData>
  <mergeCells count="322">
    <mergeCell ref="F8:P8"/>
    <mergeCell ref="V8:Z8"/>
    <mergeCell ref="F10:P10"/>
    <mergeCell ref="F11:P11"/>
    <mergeCell ref="V11:Z11"/>
    <mergeCell ref="V2:Z2"/>
    <mergeCell ref="P3:R3"/>
    <mergeCell ref="T3:Y3"/>
    <mergeCell ref="F4:Z4"/>
    <mergeCell ref="F13:H13"/>
    <mergeCell ref="N13:P13"/>
    <mergeCell ref="V13:Z13"/>
    <mergeCell ref="F15:H15"/>
    <mergeCell ref="N15:P15"/>
    <mergeCell ref="V15:Z15"/>
    <mergeCell ref="P19:Q19"/>
    <mergeCell ref="D21:F21"/>
    <mergeCell ref="G21:I21"/>
    <mergeCell ref="J21:L21"/>
    <mergeCell ref="M21:O21"/>
    <mergeCell ref="P21:Q21"/>
    <mergeCell ref="D19:F19"/>
    <mergeCell ref="G19:I19"/>
    <mergeCell ref="J19:L19"/>
    <mergeCell ref="M19:O19"/>
    <mergeCell ref="P22:Q22"/>
    <mergeCell ref="D23:F23"/>
    <mergeCell ref="G23:I23"/>
    <mergeCell ref="J23:L23"/>
    <mergeCell ref="M23:O23"/>
    <mergeCell ref="P23:Q23"/>
    <mergeCell ref="D22:F22"/>
    <mergeCell ref="G22:I22"/>
    <mergeCell ref="J22:L22"/>
    <mergeCell ref="M22:O22"/>
    <mergeCell ref="P24:Q24"/>
    <mergeCell ref="D25:F25"/>
    <mergeCell ref="G25:I25"/>
    <mergeCell ref="J25:L25"/>
    <mergeCell ref="M25:O25"/>
    <mergeCell ref="P25:Q25"/>
    <mergeCell ref="D24:F24"/>
    <mergeCell ref="G24:I24"/>
    <mergeCell ref="J24:L24"/>
    <mergeCell ref="M24:O24"/>
    <mergeCell ref="P26:Q26"/>
    <mergeCell ref="D27:F27"/>
    <mergeCell ref="G27:I27"/>
    <mergeCell ref="J27:L27"/>
    <mergeCell ref="M27:O27"/>
    <mergeCell ref="P27:Q27"/>
    <mergeCell ref="D26:F26"/>
    <mergeCell ref="G26:I26"/>
    <mergeCell ref="J26:L26"/>
    <mergeCell ref="M26:O26"/>
    <mergeCell ref="P28:Q28"/>
    <mergeCell ref="D29:F29"/>
    <mergeCell ref="G29:I29"/>
    <mergeCell ref="J29:L29"/>
    <mergeCell ref="M29:O29"/>
    <mergeCell ref="P29:Q29"/>
    <mergeCell ref="D28:F28"/>
    <mergeCell ref="G28:I28"/>
    <mergeCell ref="J28:L28"/>
    <mergeCell ref="M28:O28"/>
    <mergeCell ref="P30:Q30"/>
    <mergeCell ref="D31:F31"/>
    <mergeCell ref="G31:I31"/>
    <mergeCell ref="J31:L31"/>
    <mergeCell ref="M31:O31"/>
    <mergeCell ref="P31:Q31"/>
    <mergeCell ref="D30:F30"/>
    <mergeCell ref="G30:I30"/>
    <mergeCell ref="J30:L30"/>
    <mergeCell ref="M30:O30"/>
    <mergeCell ref="P32:Q32"/>
    <mergeCell ref="D33:F33"/>
    <mergeCell ref="G33:I33"/>
    <mergeCell ref="J33:L33"/>
    <mergeCell ref="M33:O33"/>
    <mergeCell ref="P33:Q33"/>
    <mergeCell ref="D32:F32"/>
    <mergeCell ref="G32:I32"/>
    <mergeCell ref="J32:L32"/>
    <mergeCell ref="M32:O32"/>
    <mergeCell ref="P34:Q34"/>
    <mergeCell ref="D35:F35"/>
    <mergeCell ref="G35:I35"/>
    <mergeCell ref="J35:L35"/>
    <mergeCell ref="M35:O35"/>
    <mergeCell ref="P35:Q35"/>
    <mergeCell ref="D34:F34"/>
    <mergeCell ref="G34:I34"/>
    <mergeCell ref="J34:L34"/>
    <mergeCell ref="M34:O34"/>
    <mergeCell ref="P36:Q36"/>
    <mergeCell ref="D37:F37"/>
    <mergeCell ref="G37:I37"/>
    <mergeCell ref="J37:L37"/>
    <mergeCell ref="M37:O37"/>
    <mergeCell ref="P37:Q37"/>
    <mergeCell ref="D36:F36"/>
    <mergeCell ref="G36:I36"/>
    <mergeCell ref="J36:L36"/>
    <mergeCell ref="M36:O36"/>
    <mergeCell ref="P38:Q38"/>
    <mergeCell ref="D39:F39"/>
    <mergeCell ref="G39:I39"/>
    <mergeCell ref="J39:L39"/>
    <mergeCell ref="M39:O39"/>
    <mergeCell ref="P39:Q39"/>
    <mergeCell ref="D38:F38"/>
    <mergeCell ref="G38:I38"/>
    <mergeCell ref="J38:L38"/>
    <mergeCell ref="M38:O38"/>
    <mergeCell ref="P40:Q40"/>
    <mergeCell ref="D41:F41"/>
    <mergeCell ref="G41:I41"/>
    <mergeCell ref="J41:L41"/>
    <mergeCell ref="M41:O41"/>
    <mergeCell ref="P41:Q41"/>
    <mergeCell ref="D40:F40"/>
    <mergeCell ref="G40:I40"/>
    <mergeCell ref="J40:L40"/>
    <mergeCell ref="M40:O40"/>
    <mergeCell ref="P42:Q42"/>
    <mergeCell ref="D43:F43"/>
    <mergeCell ref="G43:I43"/>
    <mergeCell ref="J43:L43"/>
    <mergeCell ref="M43:O43"/>
    <mergeCell ref="P43:Q43"/>
    <mergeCell ref="D42:F42"/>
    <mergeCell ref="G42:I42"/>
    <mergeCell ref="J42:L42"/>
    <mergeCell ref="M42:O42"/>
    <mergeCell ref="D52:V52"/>
    <mergeCell ref="X52:Z52"/>
    <mergeCell ref="D53:V53"/>
    <mergeCell ref="X53:Z53"/>
    <mergeCell ref="D50:V50"/>
    <mergeCell ref="X50:Z50"/>
    <mergeCell ref="D51:V51"/>
    <mergeCell ref="X51:Z51"/>
    <mergeCell ref="P44:Q44"/>
    <mergeCell ref="D45:F45"/>
    <mergeCell ref="G45:I45"/>
    <mergeCell ref="J45:L45"/>
    <mergeCell ref="M45:O45"/>
    <mergeCell ref="P45:Q45"/>
    <mergeCell ref="D44:F44"/>
    <mergeCell ref="G44:I44"/>
    <mergeCell ref="J44:L44"/>
    <mergeCell ref="M44:O44"/>
    <mergeCell ref="D54:V54"/>
    <mergeCell ref="X54:Z54"/>
    <mergeCell ref="D55:V55"/>
    <mergeCell ref="X55:Z55"/>
    <mergeCell ref="D56:V56"/>
    <mergeCell ref="X56:Z56"/>
    <mergeCell ref="C65:I65"/>
    <mergeCell ref="K65:AA65"/>
    <mergeCell ref="C66:I66"/>
    <mergeCell ref="K66:AA66"/>
    <mergeCell ref="C63:I63"/>
    <mergeCell ref="K63:AA63"/>
    <mergeCell ref="C64:I64"/>
    <mergeCell ref="K64:AA64"/>
    <mergeCell ref="C69:I69"/>
    <mergeCell ref="K69:AA69"/>
    <mergeCell ref="C70:I70"/>
    <mergeCell ref="K70:AA70"/>
    <mergeCell ref="C67:I67"/>
    <mergeCell ref="K67:AA67"/>
    <mergeCell ref="C68:I68"/>
    <mergeCell ref="K68:AA68"/>
    <mergeCell ref="D57:V57"/>
    <mergeCell ref="X57:Z57"/>
    <mergeCell ref="C86:I86"/>
    <mergeCell ref="K86:AA86"/>
    <mergeCell ref="C87:I87"/>
    <mergeCell ref="K87:AA87"/>
    <mergeCell ref="C71:I71"/>
    <mergeCell ref="K71:AA71"/>
    <mergeCell ref="C72:I72"/>
    <mergeCell ref="K72:AA72"/>
    <mergeCell ref="C78:AA82"/>
    <mergeCell ref="C88:I88"/>
    <mergeCell ref="K88:AA88"/>
    <mergeCell ref="C89:I89"/>
    <mergeCell ref="K89:AA89"/>
    <mergeCell ref="C90:I90"/>
    <mergeCell ref="K90:AA90"/>
    <mergeCell ref="C94:I94"/>
    <mergeCell ref="K94:AA94"/>
    <mergeCell ref="C95:I95"/>
    <mergeCell ref="K95:AA95"/>
    <mergeCell ref="C92:I92"/>
    <mergeCell ref="K92:AA92"/>
    <mergeCell ref="C93:I93"/>
    <mergeCell ref="K93:AA93"/>
    <mergeCell ref="C101:I101"/>
    <mergeCell ref="K101:AA101"/>
    <mergeCell ref="C102:I102"/>
    <mergeCell ref="K102:AA102"/>
    <mergeCell ref="C96:I96"/>
    <mergeCell ref="K96:AA96"/>
    <mergeCell ref="C100:I100"/>
    <mergeCell ref="K100:AA100"/>
    <mergeCell ref="C91:I91"/>
    <mergeCell ref="K91:AA91"/>
    <mergeCell ref="C111:I111"/>
    <mergeCell ref="K111:AA111"/>
    <mergeCell ref="C112:I112"/>
    <mergeCell ref="K112:AA112"/>
    <mergeCell ref="C106:I106"/>
    <mergeCell ref="K106:AA106"/>
    <mergeCell ref="C103:I103"/>
    <mergeCell ref="K103:AA103"/>
    <mergeCell ref="C104:I104"/>
    <mergeCell ref="K104:AA104"/>
    <mergeCell ref="C105:I105"/>
    <mergeCell ref="K105:AA105"/>
    <mergeCell ref="C109:I109"/>
    <mergeCell ref="K109:AA109"/>
    <mergeCell ref="C110:I110"/>
    <mergeCell ref="K110:AA110"/>
    <mergeCell ref="C107:I107"/>
    <mergeCell ref="K107:AA107"/>
    <mergeCell ref="C108:I108"/>
    <mergeCell ref="K108:AA108"/>
    <mergeCell ref="C125:I125"/>
    <mergeCell ref="K125:AA125"/>
    <mergeCell ref="C122:I122"/>
    <mergeCell ref="K122:AA122"/>
    <mergeCell ref="C123:I123"/>
    <mergeCell ref="K123:AA123"/>
    <mergeCell ref="C113:I113"/>
    <mergeCell ref="K113:AA113"/>
    <mergeCell ref="C114:I114"/>
    <mergeCell ref="K114:AA114"/>
    <mergeCell ref="C121:I121"/>
    <mergeCell ref="K121:AA121"/>
    <mergeCell ref="C115:I115"/>
    <mergeCell ref="K115:AA115"/>
    <mergeCell ref="C116:I116"/>
    <mergeCell ref="K116:AA116"/>
    <mergeCell ref="C120:I120"/>
    <mergeCell ref="K120:AA120"/>
    <mergeCell ref="C124:I124"/>
    <mergeCell ref="K124:AA124"/>
    <mergeCell ref="C126:I126"/>
    <mergeCell ref="K126:AA126"/>
    <mergeCell ref="C127:I127"/>
    <mergeCell ref="K127:AA127"/>
    <mergeCell ref="C132:I132"/>
    <mergeCell ref="K132:AA132"/>
    <mergeCell ref="C130:I130"/>
    <mergeCell ref="K130:AA130"/>
    <mergeCell ref="C131:I131"/>
    <mergeCell ref="K131:AA131"/>
    <mergeCell ref="C128:I128"/>
    <mergeCell ref="K128:AA128"/>
    <mergeCell ref="C129:I129"/>
    <mergeCell ref="K129:AA129"/>
    <mergeCell ref="K137:Q137"/>
    <mergeCell ref="R137:X137"/>
    <mergeCell ref="C141:I141"/>
    <mergeCell ref="K141:Q141"/>
    <mergeCell ref="R141:Y141"/>
    <mergeCell ref="Z141:AA141"/>
    <mergeCell ref="C140:I140"/>
    <mergeCell ref="K140:Q140"/>
    <mergeCell ref="R140:Y140"/>
    <mergeCell ref="Z140:AA140"/>
    <mergeCell ref="C139:I139"/>
    <mergeCell ref="K139:Q139"/>
    <mergeCell ref="R139:Y139"/>
    <mergeCell ref="Z139:AA139"/>
    <mergeCell ref="C138:I138"/>
    <mergeCell ref="K138:Q138"/>
    <mergeCell ref="R138:Y138"/>
    <mergeCell ref="Z138:AA138"/>
    <mergeCell ref="C142:I142"/>
    <mergeCell ref="K142:Q142"/>
    <mergeCell ref="Z142:AA142"/>
    <mergeCell ref="R142:Y142"/>
    <mergeCell ref="C149:I149"/>
    <mergeCell ref="K149:AA149"/>
    <mergeCell ref="C147:I147"/>
    <mergeCell ref="K147:AA147"/>
    <mergeCell ref="C148:I148"/>
    <mergeCell ref="K148:AA148"/>
    <mergeCell ref="C145:I145"/>
    <mergeCell ref="K145:Q145"/>
    <mergeCell ref="R145:Y145"/>
    <mergeCell ref="Z145:AA145"/>
    <mergeCell ref="C144:I144"/>
    <mergeCell ref="K144:Q144"/>
    <mergeCell ref="R144:Y144"/>
    <mergeCell ref="Z144:AA144"/>
    <mergeCell ref="C143:I143"/>
    <mergeCell ref="K143:Q143"/>
    <mergeCell ref="R143:Y143"/>
    <mergeCell ref="Z143:AA143"/>
    <mergeCell ref="B195:AA197"/>
    <mergeCell ref="A184:T184"/>
    <mergeCell ref="A185:T185"/>
    <mergeCell ref="A186:T186"/>
    <mergeCell ref="A187:T187"/>
    <mergeCell ref="A188:T188"/>
    <mergeCell ref="A189:T189"/>
    <mergeCell ref="A158:AA158"/>
    <mergeCell ref="A162:AA162"/>
    <mergeCell ref="C179:H179"/>
    <mergeCell ref="A190:T190"/>
    <mergeCell ref="E193:O193"/>
    <mergeCell ref="R193:Z193"/>
    <mergeCell ref="A167:AA167"/>
    <mergeCell ref="A169:AA171"/>
    <mergeCell ref="A173:AA176"/>
    <mergeCell ref="E178:O178"/>
    <mergeCell ref="R178:Z178"/>
  </mergeCells>
  <phoneticPr fontId="98"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35"/>
  <sheetViews>
    <sheetView zoomScale="10" zoomScaleNormal="10" workbookViewId="0">
      <selection activeCell="EQ290" sqref="EQ290"/>
    </sheetView>
  </sheetViews>
  <sheetFormatPr defaultColWidth="9.140625" defaultRowHeight="12.75"/>
  <cols>
    <col min="1" max="1" width="0.85546875" style="6" customWidth="1"/>
    <col min="2" max="2" width="3.5703125" style="6" customWidth="1"/>
    <col min="3" max="3" width="7.140625" style="6" customWidth="1"/>
    <col min="4" max="4" width="1.28515625" style="6" customWidth="1"/>
    <col min="5" max="6" width="6.140625" style="6" customWidth="1"/>
    <col min="7" max="7" width="5.7109375" style="6" customWidth="1"/>
    <col min="8" max="8" width="5" style="6" customWidth="1"/>
    <col min="9" max="9" width="4.85546875" style="6" customWidth="1"/>
    <col min="10" max="10" width="5.5703125" style="6" customWidth="1"/>
    <col min="11" max="11" width="1.140625" style="6" customWidth="1"/>
    <col min="12" max="12" width="5.5703125" style="6" customWidth="1"/>
    <col min="13" max="13" width="2.28515625" style="6" customWidth="1"/>
    <col min="14" max="14" width="6.140625" style="6" customWidth="1"/>
    <col min="15" max="15" width="5.28515625" style="6" customWidth="1"/>
    <col min="16" max="16" width="5.7109375" style="6" customWidth="1"/>
    <col min="17" max="17" width="6.5703125" style="6" customWidth="1"/>
    <col min="18" max="19" width="6.28515625" style="6" customWidth="1"/>
    <col min="20" max="20" width="0.85546875" style="6" customWidth="1"/>
    <col min="21" max="21" width="5" style="6" customWidth="1"/>
    <col min="22" max="22" width="0.85546875" style="6" customWidth="1"/>
    <col min="23" max="23" width="5.5703125" style="6" customWidth="1"/>
    <col min="24" max="24" width="1" style="6" customWidth="1"/>
    <col min="25" max="25" width="9" style="6" customWidth="1"/>
    <col min="26" max="26" width="9.5703125" style="6" customWidth="1"/>
    <col min="27" max="27" width="11.140625" style="6" customWidth="1"/>
    <col min="28" max="29" width="12.85546875" style="135" customWidth="1"/>
    <col min="30" max="30" width="22.140625" style="135" customWidth="1"/>
    <col min="31" max="31" width="10.42578125" style="136" customWidth="1"/>
    <col min="32" max="48" width="9.140625" style="135"/>
    <col min="49" max="62" width="9.140625" style="131"/>
    <col min="63" max="99" width="9.140625" style="120"/>
    <col min="100" max="100" width="9.140625" style="17"/>
    <col min="101" max="16384" width="9.140625" style="6"/>
  </cols>
  <sheetData>
    <row r="1" spans="3:32" ht="13.5" thickBot="1"/>
    <row r="2" spans="3:32" ht="13.5" thickBot="1">
      <c r="C2" s="22"/>
      <c r="D2" s="23"/>
      <c r="E2" s="24"/>
      <c r="H2" s="21" t="s">
        <v>2</v>
      </c>
      <c r="N2" s="6" t="s">
        <v>2</v>
      </c>
      <c r="P2" s="17"/>
      <c r="Q2" s="1350"/>
      <c r="R2" s="1350"/>
      <c r="W2" s="7" t="s">
        <v>48</v>
      </c>
      <c r="X2" s="12"/>
      <c r="Y2" s="30">
        <f>H93</f>
        <v>0</v>
      </c>
    </row>
    <row r="3" spans="3:32">
      <c r="C3" s="25"/>
      <c r="D3" s="17"/>
      <c r="E3" s="26"/>
      <c r="H3" s="21" t="s">
        <v>2</v>
      </c>
      <c r="P3" s="1351" t="s">
        <v>2</v>
      </c>
      <c r="Q3" s="1351"/>
      <c r="R3" s="1351"/>
      <c r="S3" s="1352" t="s">
        <v>2</v>
      </c>
      <c r="T3" s="1353"/>
      <c r="U3" s="1353"/>
      <c r="V3" s="1353"/>
      <c r="W3" s="1353"/>
      <c r="X3" s="1354"/>
      <c r="Y3" s="31">
        <v>1</v>
      </c>
    </row>
    <row r="4" spans="3:32" ht="33.75" thickBot="1">
      <c r="C4" s="25"/>
      <c r="D4" s="17"/>
      <c r="E4" s="26"/>
      <c r="G4" s="121" t="s">
        <v>195</v>
      </c>
    </row>
    <row r="5" spans="3:32" ht="21" thickBot="1">
      <c r="C5" s="27"/>
      <c r="D5" s="20"/>
      <c r="E5" s="28"/>
      <c r="H5" s="1082" t="s">
        <v>2</v>
      </c>
      <c r="I5" s="1083"/>
      <c r="J5" s="1083"/>
      <c r="K5" s="1083"/>
      <c r="L5" s="1083"/>
      <c r="M5" s="1083"/>
      <c r="N5" s="1083"/>
      <c r="O5" s="1083"/>
      <c r="P5" s="1083"/>
      <c r="Q5" s="1083"/>
      <c r="R5" s="1083"/>
      <c r="S5" s="1083"/>
      <c r="T5" s="1083"/>
      <c r="U5" s="1083"/>
      <c r="V5" s="1083"/>
      <c r="W5" s="1083"/>
      <c r="X5" s="1083"/>
      <c r="Y5" s="1084"/>
    </row>
    <row r="6" spans="3:32" ht="12" customHeight="1" thickBot="1">
      <c r="AB6" s="137" t="s">
        <v>59</v>
      </c>
      <c r="AC6" s="137"/>
    </row>
    <row r="7" spans="3:32" ht="13.5" hidden="1" thickBot="1"/>
    <row r="8" spans="3:32" ht="36" customHeight="1" thickBot="1">
      <c r="E8" s="8" t="s">
        <v>0</v>
      </c>
      <c r="F8" s="838" t="str">
        <f>PROPOSITION!F8</f>
        <v xml:space="preserve"> </v>
      </c>
      <c r="G8" s="772"/>
      <c r="H8" s="772"/>
      <c r="I8" s="772"/>
      <c r="J8" s="772"/>
      <c r="K8" s="772"/>
      <c r="L8" s="772"/>
      <c r="M8" s="772"/>
      <c r="N8" s="772"/>
      <c r="O8" s="772"/>
      <c r="P8" s="773"/>
      <c r="S8" s="8" t="s">
        <v>1</v>
      </c>
      <c r="U8" s="841" t="str">
        <f>PROPOSITION!U8</f>
        <v xml:space="preserve"> </v>
      </c>
      <c r="V8" s="842"/>
      <c r="W8" s="842"/>
      <c r="X8" s="842"/>
      <c r="Y8" s="843"/>
      <c r="AA8" s="32">
        <f>IF($N$15&gt;24999,5,0)</f>
        <v>0</v>
      </c>
      <c r="AB8" s="1349" t="str">
        <f>[5]APPLICATION!K106</f>
        <v xml:space="preserve"> </v>
      </c>
      <c r="AC8" s="1349"/>
      <c r="AD8" s="1349"/>
      <c r="AE8" s="1349"/>
      <c r="AF8" s="1349"/>
    </row>
    <row r="9" spans="3:32" ht="6.75" customHeight="1" thickBot="1">
      <c r="E9" s="8"/>
      <c r="F9" s="33"/>
      <c r="G9" s="33"/>
      <c r="H9" s="33"/>
      <c r="I9" s="33"/>
      <c r="J9" s="33"/>
      <c r="K9" s="33"/>
      <c r="L9" s="33"/>
      <c r="M9" s="33"/>
      <c r="N9" s="33"/>
      <c r="O9" s="33"/>
      <c r="P9" s="33"/>
      <c r="S9" s="8"/>
      <c r="W9" s="6" t="s">
        <v>2</v>
      </c>
      <c r="AA9" s="32"/>
    </row>
    <row r="10" spans="3:32" ht="15.75" customHeight="1" thickBot="1">
      <c r="E10" s="8" t="s">
        <v>3</v>
      </c>
      <c r="F10" s="811" t="str">
        <f>PROPOSITION!F10</f>
        <v xml:space="preserve"> </v>
      </c>
      <c r="G10" s="812"/>
      <c r="H10" s="812"/>
      <c r="I10" s="812"/>
      <c r="J10" s="812"/>
      <c r="K10" s="812"/>
      <c r="L10" s="812"/>
      <c r="M10" s="812"/>
      <c r="N10" s="812"/>
      <c r="O10" s="812"/>
      <c r="P10" s="813"/>
      <c r="Q10" s="6" t="s">
        <v>2</v>
      </c>
      <c r="S10" s="8"/>
      <c r="AA10" s="32">
        <f>IF($N$15&gt;0,5,0)</f>
        <v>0</v>
      </c>
      <c r="AB10" s="137" t="s">
        <v>58</v>
      </c>
      <c r="AC10" s="137"/>
    </row>
    <row r="11" spans="3:32" ht="17.25" customHeight="1" thickBot="1">
      <c r="E11" s="8" t="s">
        <v>4</v>
      </c>
      <c r="F11" s="838" t="str">
        <f>PROPOSITION!F11</f>
        <v xml:space="preserve"> </v>
      </c>
      <c r="G11" s="839"/>
      <c r="H11" s="839"/>
      <c r="I11" s="839"/>
      <c r="J11" s="839"/>
      <c r="K11" s="839"/>
      <c r="L11" s="839"/>
      <c r="M11" s="839"/>
      <c r="N11" s="839"/>
      <c r="O11" s="839"/>
      <c r="P11" s="840"/>
      <c r="S11" s="8" t="s">
        <v>5</v>
      </c>
      <c r="U11" s="841" t="str">
        <f>PROPOSITION!U11</f>
        <v xml:space="preserve"> </v>
      </c>
      <c r="V11" s="842"/>
      <c r="W11" s="842"/>
      <c r="X11" s="842"/>
      <c r="Y11" s="843"/>
      <c r="AA11" s="32">
        <f>IF($N$15&gt;149999,5,0)</f>
        <v>0</v>
      </c>
      <c r="AB11" s="1361" t="e">
        <f>[5]APPLICATION!K65</f>
        <v>#REF!</v>
      </c>
      <c r="AC11" s="1361"/>
      <c r="AD11" s="1361"/>
      <c r="AE11" s="1361"/>
      <c r="AF11" s="1361"/>
    </row>
    <row r="12" spans="3:32" ht="6.75" customHeight="1" thickBot="1">
      <c r="E12" s="8"/>
      <c r="S12" s="8"/>
      <c r="AA12" s="32"/>
      <c r="AB12" s="138"/>
      <c r="AC12" s="138"/>
      <c r="AD12" s="138"/>
      <c r="AE12" s="138"/>
      <c r="AF12" s="138"/>
    </row>
    <row r="13" spans="3:32" ht="15.75" customHeight="1" thickBot="1">
      <c r="E13" s="8" t="s">
        <v>6</v>
      </c>
      <c r="F13" s="838" t="s">
        <v>2</v>
      </c>
      <c r="G13" s="839"/>
      <c r="H13" s="840"/>
      <c r="M13" s="8" t="s">
        <v>71</v>
      </c>
      <c r="N13" s="847" t="str">
        <f>PROPOSITION!N13</f>
        <v>Aucune</v>
      </c>
      <c r="O13" s="1362"/>
      <c r="P13" s="1363"/>
      <c r="S13" s="9" t="s">
        <v>2</v>
      </c>
      <c r="U13" s="1364"/>
      <c r="V13" s="1365"/>
      <c r="W13" s="1365"/>
      <c r="X13" s="1365"/>
      <c r="Y13" s="1365"/>
      <c r="AA13" s="32">
        <f>IF(P17="x",5,0)</f>
        <v>0</v>
      </c>
      <c r="AB13" s="1361" t="e">
        <f>[5]APPLICATION!K66</f>
        <v>#REF!</v>
      </c>
      <c r="AC13" s="1361"/>
      <c r="AD13" s="1361"/>
      <c r="AE13" s="1361"/>
      <c r="AF13" s="1361"/>
    </row>
    <row r="14" spans="3:32" ht="6.75" customHeight="1" thickBot="1">
      <c r="E14" s="8"/>
      <c r="M14" s="8"/>
      <c r="S14" s="8"/>
      <c r="AA14" s="32"/>
      <c r="AB14" s="138"/>
      <c r="AC14" s="138"/>
      <c r="AD14" s="138"/>
      <c r="AE14" s="138"/>
      <c r="AF14" s="138"/>
    </row>
    <row r="15" spans="3:32" ht="15.75" customHeight="1" thickBot="1">
      <c r="E15" s="8" t="s">
        <v>8</v>
      </c>
      <c r="F15" s="826" t="str">
        <f>PROPOSITION!F15</f>
        <v xml:space="preserve"> </v>
      </c>
      <c r="G15" s="1355"/>
      <c r="H15" s="1356"/>
      <c r="M15" s="9" t="s">
        <v>74</v>
      </c>
      <c r="N15" s="1198">
        <f>PROPOSITION!N15</f>
        <v>0</v>
      </c>
      <c r="O15" s="1357"/>
      <c r="P15" s="1358"/>
      <c r="S15" s="9" t="s">
        <v>2</v>
      </c>
      <c r="U15" s="1359" t="s">
        <v>2</v>
      </c>
      <c r="V15" s="1360"/>
      <c r="W15" s="1360"/>
      <c r="X15" s="1360"/>
      <c r="Y15" s="1360"/>
      <c r="AA15" s="32">
        <f>SUM(AA8:AA13)</f>
        <v>0</v>
      </c>
      <c r="AB15" s="1361" t="e">
        <f>[5]APPLICATION!K68</f>
        <v>#REF!</v>
      </c>
      <c r="AC15" s="1361"/>
      <c r="AD15" s="1361"/>
      <c r="AE15" s="1361"/>
      <c r="AF15" s="1361"/>
    </row>
    <row r="16" spans="3:32" ht="9.75" customHeight="1" thickBot="1">
      <c r="P16" s="38" t="s">
        <v>2</v>
      </c>
    </row>
    <row r="17" spans="2:100" ht="15.75" customHeight="1" thickBot="1">
      <c r="F17" s="1341"/>
      <c r="G17" s="1341"/>
      <c r="H17" s="1341"/>
      <c r="J17" s="17"/>
      <c r="K17" s="17"/>
      <c r="L17" s="150" t="s">
        <v>203</v>
      </c>
      <c r="M17" s="151"/>
      <c r="N17" s="152" t="s">
        <v>46</v>
      </c>
      <c r="O17" s="153" t="s">
        <v>2</v>
      </c>
      <c r="P17" s="154" t="s">
        <v>2</v>
      </c>
      <c r="Q17" s="34"/>
      <c r="R17" s="1342"/>
      <c r="S17" s="1342"/>
      <c r="T17" s="1342"/>
      <c r="U17" s="1342"/>
      <c r="V17" s="1342"/>
      <c r="W17" s="1342"/>
      <c r="X17" s="1342"/>
      <c r="Y17" s="1342"/>
      <c r="Z17" s="123"/>
      <c r="AA17" s="17"/>
    </row>
    <row r="18" spans="2:100" ht="17.25" customHeight="1" thickBot="1">
      <c r="F18" s="1341"/>
      <c r="G18" s="1341"/>
      <c r="H18" s="1341"/>
      <c r="L18" s="155"/>
      <c r="M18" s="155"/>
      <c r="N18" s="156" t="s">
        <v>204</v>
      </c>
      <c r="O18" s="157" t="s">
        <v>205</v>
      </c>
      <c r="P18" s="157" t="s">
        <v>206</v>
      </c>
      <c r="Q18" s="10"/>
      <c r="Z18" s="10"/>
    </row>
    <row r="19" spans="2:100" ht="17.25" customHeight="1" thickBot="1">
      <c r="C19" s="1346" t="s">
        <v>250</v>
      </c>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1348"/>
    </row>
    <row r="20" spans="2:100" ht="3.75" customHeight="1"/>
    <row r="21" spans="2:100" s="12" customFormat="1" ht="69.75" customHeight="1">
      <c r="B21" s="11" t="s">
        <v>11</v>
      </c>
      <c r="C21" s="29" t="s">
        <v>12</v>
      </c>
      <c r="D21" s="1343" t="s">
        <v>13</v>
      </c>
      <c r="E21" s="1343"/>
      <c r="F21" s="1343"/>
      <c r="G21" s="1343" t="s">
        <v>14</v>
      </c>
      <c r="H21" s="1343"/>
      <c r="I21" s="1343"/>
      <c r="J21" s="1343" t="s">
        <v>15</v>
      </c>
      <c r="K21" s="1343"/>
      <c r="L21" s="1343"/>
      <c r="M21" s="1343" t="s">
        <v>16</v>
      </c>
      <c r="N21" s="1343"/>
      <c r="O21" s="1343"/>
      <c r="P21" s="1343" t="s">
        <v>17</v>
      </c>
      <c r="Q21" s="1343"/>
      <c r="R21" s="1344" t="s">
        <v>2</v>
      </c>
      <c r="S21" s="1345"/>
      <c r="T21" s="11"/>
      <c r="U21" s="54" t="s">
        <v>198</v>
      </c>
      <c r="V21" s="11"/>
      <c r="W21" s="54" t="s">
        <v>2</v>
      </c>
      <c r="X21" s="11"/>
      <c r="Y21" s="55" t="s">
        <v>2</v>
      </c>
      <c r="Z21" s="55" t="s">
        <v>2</v>
      </c>
      <c r="AA21" s="55" t="s">
        <v>2</v>
      </c>
      <c r="AB21" s="139" t="s">
        <v>159</v>
      </c>
      <c r="AC21" s="139"/>
      <c r="AD21" s="137"/>
      <c r="AE21" s="140"/>
      <c r="AF21" s="137"/>
      <c r="AG21" s="137"/>
      <c r="AH21" s="137"/>
      <c r="AI21" s="137"/>
      <c r="AJ21" s="137"/>
      <c r="AK21" s="137"/>
      <c r="AL21" s="137"/>
      <c r="AM21" s="137"/>
      <c r="AN21" s="137"/>
      <c r="AO21" s="137"/>
      <c r="AP21" s="137"/>
      <c r="AQ21" s="137"/>
      <c r="AR21" s="137"/>
      <c r="AS21" s="137"/>
      <c r="AT21" s="137"/>
      <c r="AU21" s="137"/>
      <c r="AV21" s="137"/>
      <c r="AW21" s="132"/>
      <c r="AX21" s="132"/>
      <c r="AY21" s="132"/>
      <c r="AZ21" s="132"/>
      <c r="BA21" s="132"/>
      <c r="BB21" s="132"/>
      <c r="BC21" s="132"/>
      <c r="BD21" s="132"/>
      <c r="BE21" s="132"/>
      <c r="BF21" s="132"/>
      <c r="BG21" s="132"/>
      <c r="BH21" s="132"/>
      <c r="BI21" s="132"/>
      <c r="BJ21" s="13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6"/>
    </row>
    <row r="22" spans="2:100" ht="6" customHeight="1">
      <c r="C22" s="6" t="s">
        <v>2</v>
      </c>
      <c r="M22" s="6" t="s">
        <v>2</v>
      </c>
      <c r="N22" s="6" t="s">
        <v>2</v>
      </c>
      <c r="W22" s="6" t="s">
        <v>2</v>
      </c>
    </row>
    <row r="23" spans="2:100" ht="15.75" customHeight="1">
      <c r="B23" s="14">
        <v>1</v>
      </c>
      <c r="C23" s="194">
        <f>PROPOSITION!C21</f>
        <v>0</v>
      </c>
      <c r="D23" s="1329" t="str">
        <f>PROPOSITION!D21</f>
        <v xml:space="preserve"> </v>
      </c>
      <c r="E23" s="1330"/>
      <c r="F23" s="1331"/>
      <c r="G23" s="1332" t="str">
        <f>PROPOSITION!G21</f>
        <v xml:space="preserve"> </v>
      </c>
      <c r="H23" s="1333"/>
      <c r="I23" s="1334"/>
      <c r="J23" s="1335" t="str">
        <f>PROPOSITION!J21</f>
        <v xml:space="preserve"> </v>
      </c>
      <c r="K23" s="1336"/>
      <c r="L23" s="1337"/>
      <c r="M23" s="1338" t="str">
        <f>PROPOSITION!M21</f>
        <v xml:space="preserve"> </v>
      </c>
      <c r="N23" s="1339"/>
      <c r="O23" s="1340"/>
      <c r="P23" s="1317">
        <f>IF(AC23&gt;($J$51*2),AC23,0.00000001)</f>
        <v>1.0000000000000001E-9</v>
      </c>
      <c r="Q23" s="1318"/>
      <c r="R23" s="1319">
        <f>MIN(AD23,75000)</f>
        <v>1E-13</v>
      </c>
      <c r="S23" s="1320"/>
      <c r="T23" s="13">
        <f>IF(AA23="Y",1,0)</f>
        <v>0</v>
      </c>
      <c r="U23" s="127">
        <f>EQUIPEMENTS!Z24</f>
        <v>4.9999999999999982E-2</v>
      </c>
      <c r="V23" s="13"/>
      <c r="W23" s="15"/>
      <c r="X23" s="35">
        <f t="shared" ref="X23:X47" si="0">MAX(Y148,AA148)</f>
        <v>7.4999999999999969E-2</v>
      </c>
      <c r="Y23" s="128">
        <f>Z23*R23/100</f>
        <v>7.4999999999999961E-17</v>
      </c>
      <c r="Z23" s="129">
        <f t="shared" ref="Z23:Z47" si="1">Y148</f>
        <v>7.4999999999999969E-2</v>
      </c>
      <c r="AA23" s="130">
        <f>'DBD app hide'!AA21</f>
        <v>5000</v>
      </c>
      <c r="AB23" s="141">
        <f t="shared" ref="AB23:AB47" si="2">AB148+Y23</f>
        <v>7.4999999999999961E-17</v>
      </c>
      <c r="AC23" s="141">
        <f>MAX(((PROPOSITION!P21)),0.0000000001)</f>
        <v>1.0000000000000001E-9</v>
      </c>
      <c r="AD23" s="135">
        <f>MAX('DBD app hide'!T21,0.0000000000001)</f>
        <v>1E-13</v>
      </c>
      <c r="AE23" s="136">
        <f>Y3</f>
        <v>1</v>
      </c>
      <c r="AF23" s="135">
        <v>2</v>
      </c>
      <c r="AG23" s="135">
        <f>IF(AA23="Y",1,0)</f>
        <v>0</v>
      </c>
      <c r="AH23" s="135">
        <f>IF(W23="y",1,0)</f>
        <v>0</v>
      </c>
      <c r="AJ23" s="135">
        <f>IF(C23&lt;1999,1,0)</f>
        <v>1</v>
      </c>
      <c r="AK23" s="135">
        <f t="shared" ref="AK23:AK47" si="3">IF(C148&gt;3.33,1,0)</f>
        <v>0</v>
      </c>
      <c r="AL23" s="135">
        <f>SUM(AJ23:AK23)</f>
        <v>1</v>
      </c>
      <c r="AT23" s="135">
        <f>IF(P23&gt;0.1,1,0)</f>
        <v>0</v>
      </c>
      <c r="AX23" s="131">
        <f>IF(C23&lt;2002,5,)</f>
        <v>5</v>
      </c>
      <c r="AY23" s="131">
        <f>IF(C23&lt;2000,5,0)</f>
        <v>5</v>
      </c>
      <c r="AZ23" s="131">
        <f>SUM(AX23:AY23)</f>
        <v>10</v>
      </c>
      <c r="BC23" s="133">
        <f>[5]APPLICATION!AA21</f>
        <v>5000</v>
      </c>
      <c r="BD23" s="131">
        <f>IF(BC23&gt;3999,2,1)</f>
        <v>2</v>
      </c>
      <c r="BE23" s="131">
        <f t="shared" ref="BE23:BE47" si="4">IF(S148&gt;0,1,0)</f>
        <v>0</v>
      </c>
      <c r="BF23" s="131">
        <f>SUM(BD23:BE23)</f>
        <v>2</v>
      </c>
      <c r="BH23" s="131">
        <f>IF(C23=2006,-10,0)</f>
        <v>0</v>
      </c>
      <c r="BI23" s="131">
        <f>IF(C23=2005,-5,0)</f>
        <v>0</v>
      </c>
      <c r="BJ23" s="131">
        <f>SUM(BH23:BI23)</f>
        <v>0</v>
      </c>
    </row>
    <row r="24" spans="2:100" ht="15.75" customHeight="1">
      <c r="B24" s="14">
        <v>2</v>
      </c>
      <c r="C24" s="194">
        <f>PROPOSITION!C22</f>
        <v>0</v>
      </c>
      <c r="D24" s="1329" t="str">
        <f>PROPOSITION!D22</f>
        <v xml:space="preserve"> </v>
      </c>
      <c r="E24" s="1330"/>
      <c r="F24" s="1331"/>
      <c r="G24" s="1332">
        <f>PROPOSITION!E22</f>
        <v>0</v>
      </c>
      <c r="H24" s="1333"/>
      <c r="I24" s="1334"/>
      <c r="J24" s="1335" t="str">
        <f>PROPOSITION!J22</f>
        <v xml:space="preserve"> </v>
      </c>
      <c r="K24" s="1336"/>
      <c r="L24" s="1337"/>
      <c r="M24" s="1338" t="str">
        <f>PROPOSITION!M22</f>
        <v xml:space="preserve"> </v>
      </c>
      <c r="N24" s="1339"/>
      <c r="O24" s="1340"/>
      <c r="P24" s="1317">
        <f t="shared" ref="P24:P47" si="5">IF(AC24&gt;($J$51*2),AC24,0.00000001)</f>
        <v>1.0000000000000001E-9</v>
      </c>
      <c r="Q24" s="1318"/>
      <c r="R24" s="1319">
        <v>45000</v>
      </c>
      <c r="S24" s="1320"/>
      <c r="T24" s="13">
        <f t="shared" ref="T24:T46" si="6">IF(AA24="Y",1,0)</f>
        <v>0</v>
      </c>
      <c r="U24" s="127">
        <f>EQUIPEMENTS!Z25</f>
        <v>4.9999999999999982E-2</v>
      </c>
      <c r="V24" s="13"/>
      <c r="W24" s="15"/>
      <c r="X24" s="35">
        <f t="shared" si="0"/>
        <v>7.4999999999999969E-2</v>
      </c>
      <c r="Y24" s="128">
        <f t="shared" ref="Y24:Y46" si="7">Z24*R24/100</f>
        <v>33.749999999999986</v>
      </c>
      <c r="Z24" s="129">
        <f t="shared" si="1"/>
        <v>7.4999999999999969E-2</v>
      </c>
      <c r="AA24" s="130">
        <f>'DBD app hide'!AA22</f>
        <v>5000</v>
      </c>
      <c r="AB24" s="141">
        <f t="shared" si="2"/>
        <v>33.749999999999986</v>
      </c>
      <c r="AC24" s="141">
        <f>MAX(((PROPOSITION!P22)),0.0000000001)</f>
        <v>1.0000000000000001E-9</v>
      </c>
      <c r="AD24" s="135">
        <f>MAX('DBD app hide'!T22,0.0000000000001)</f>
        <v>1E-13</v>
      </c>
      <c r="AE24" s="136" t="str">
        <f>F8</f>
        <v xml:space="preserve"> </v>
      </c>
      <c r="AF24" s="135">
        <f>IF($P$49&gt;374999,1,0)</f>
        <v>0</v>
      </c>
      <c r="AG24" s="135">
        <f>IF(AA24="Y",1,0)</f>
        <v>0</v>
      </c>
      <c r="AH24" s="135">
        <f t="shared" ref="AH24:AH46" si="8">IF(W24="y",1,0)</f>
        <v>0</v>
      </c>
      <c r="AJ24" s="135">
        <f t="shared" ref="AJ24:AJ47" si="9">IF(C24&lt;1999,1,0)</f>
        <v>1</v>
      </c>
      <c r="AK24" s="135">
        <f t="shared" si="3"/>
        <v>0</v>
      </c>
      <c r="AL24" s="135">
        <f t="shared" ref="AL24:AL47" si="10">SUM(AJ24:AK24)</f>
        <v>1</v>
      </c>
      <c r="AT24" s="135">
        <f t="shared" ref="AT24:AT48" si="11">IF(P24&gt;0.1,1,0)</f>
        <v>0</v>
      </c>
      <c r="AX24" s="131">
        <f t="shared" ref="AX24:AX47" si="12">IF(C24&lt;2002,5,)</f>
        <v>5</v>
      </c>
      <c r="AY24" s="131">
        <f t="shared" ref="AY24:AY47" si="13">IF(C24&lt;2000,5,0)</f>
        <v>5</v>
      </c>
      <c r="AZ24" s="131">
        <f t="shared" ref="AZ24:AZ47" si="14">SUM(AX24:AY24)</f>
        <v>10</v>
      </c>
      <c r="BC24" s="133">
        <f>[5]APPLICATION!AA22</f>
        <v>5000</v>
      </c>
      <c r="BD24" s="131">
        <f t="shared" ref="BD24:BD47" si="15">IF(BC24&gt;3999,2,1)</f>
        <v>2</v>
      </c>
      <c r="BE24" s="131">
        <f t="shared" si="4"/>
        <v>0</v>
      </c>
      <c r="BF24" s="131">
        <f t="shared" ref="BF24:BF47" si="16">SUM(BD24:BE24)</f>
        <v>2</v>
      </c>
      <c r="BH24" s="131">
        <f t="shared" ref="BH24:BH47" si="17">IF(C24=2006,-10,0)</f>
        <v>0</v>
      </c>
      <c r="BI24" s="131">
        <f t="shared" ref="BI24:BI48" si="18">IF(C24=2005,-5,0)</f>
        <v>0</v>
      </c>
      <c r="BJ24" s="131">
        <f t="shared" ref="BJ24:BJ47" si="19">SUM(BH24:BI24)</f>
        <v>0</v>
      </c>
    </row>
    <row r="25" spans="2:100" ht="15.75" customHeight="1">
      <c r="B25" s="14">
        <v>3</v>
      </c>
      <c r="C25" s="194">
        <f>PROPOSITION!C23</f>
        <v>0</v>
      </c>
      <c r="D25" s="1329" t="str">
        <f>PROPOSITION!D23</f>
        <v xml:space="preserve"> </v>
      </c>
      <c r="E25" s="1330"/>
      <c r="F25" s="1331"/>
      <c r="G25" s="1332" t="str">
        <f>PROPOSITION!G23</f>
        <v xml:space="preserve"> </v>
      </c>
      <c r="H25" s="1333"/>
      <c r="I25" s="1334"/>
      <c r="J25" s="1335" t="str">
        <f>PROPOSITION!J23</f>
        <v xml:space="preserve"> </v>
      </c>
      <c r="K25" s="1336"/>
      <c r="L25" s="1337"/>
      <c r="M25" s="1338" t="str">
        <f>PROPOSITION!M23</f>
        <v xml:space="preserve"> </v>
      </c>
      <c r="N25" s="1339"/>
      <c r="O25" s="1340"/>
      <c r="P25" s="1317">
        <f t="shared" si="5"/>
        <v>1.0000000000000001E-9</v>
      </c>
      <c r="Q25" s="1318"/>
      <c r="R25" s="1319">
        <f t="shared" ref="R25:R46" si="20">MIN(AD25,75000)</f>
        <v>1E-13</v>
      </c>
      <c r="S25" s="1320"/>
      <c r="T25" s="13">
        <f t="shared" si="6"/>
        <v>0</v>
      </c>
      <c r="U25" s="127">
        <f>EQUIPEMENTS!Z26</f>
        <v>4.9999999999999982E-2</v>
      </c>
      <c r="V25" s="13"/>
      <c r="W25" s="15"/>
      <c r="X25" s="35">
        <f t="shared" si="0"/>
        <v>9.9999999999999964E-2</v>
      </c>
      <c r="Y25" s="128">
        <f t="shared" si="7"/>
        <v>9.9999999999999973E-17</v>
      </c>
      <c r="Z25" s="129">
        <f t="shared" si="1"/>
        <v>9.9999999999999964E-2</v>
      </c>
      <c r="AA25" s="130">
        <f>'DBD app hide'!AA23</f>
        <v>5000</v>
      </c>
      <c r="AB25" s="141">
        <f t="shared" si="2"/>
        <v>9.9999999999999973E-17</v>
      </c>
      <c r="AC25" s="141">
        <f>MAX(((PROPOSITION!P23)),0.0000000001)</f>
        <v>1.0000000000000001E-9</v>
      </c>
      <c r="AD25" s="135">
        <f>MAX('DBD app hide'!T23,0.0000000000001)</f>
        <v>1E-13</v>
      </c>
      <c r="AE25" s="136" t="str">
        <f>F10</f>
        <v xml:space="preserve"> </v>
      </c>
      <c r="AF25" s="135">
        <f>IF($P$49&gt;749999,1,0)</f>
        <v>0</v>
      </c>
      <c r="AG25" s="135">
        <f t="shared" ref="AG25:AG47" si="21">IF(AA25="Y",1,0)</f>
        <v>0</v>
      </c>
      <c r="AH25" s="135">
        <f t="shared" si="8"/>
        <v>0</v>
      </c>
      <c r="AJ25" s="135">
        <f t="shared" si="9"/>
        <v>1</v>
      </c>
      <c r="AK25" s="135">
        <f t="shared" si="3"/>
        <v>0</v>
      </c>
      <c r="AL25" s="135">
        <f t="shared" si="10"/>
        <v>1</v>
      </c>
      <c r="AT25" s="135">
        <f t="shared" si="11"/>
        <v>0</v>
      </c>
      <c r="AX25" s="131">
        <f t="shared" si="12"/>
        <v>5</v>
      </c>
      <c r="AY25" s="131">
        <f t="shared" si="13"/>
        <v>5</v>
      </c>
      <c r="AZ25" s="131">
        <f t="shared" si="14"/>
        <v>10</v>
      </c>
      <c r="BC25" s="133">
        <f>[5]APPLICATION!AA23</f>
        <v>5000</v>
      </c>
      <c r="BD25" s="131">
        <f t="shared" si="15"/>
        <v>2</v>
      </c>
      <c r="BE25" s="131">
        <f t="shared" si="4"/>
        <v>0</v>
      </c>
      <c r="BF25" s="131">
        <f t="shared" si="16"/>
        <v>2</v>
      </c>
      <c r="BH25" s="131">
        <f t="shared" si="17"/>
        <v>0</v>
      </c>
      <c r="BI25" s="131">
        <f t="shared" si="18"/>
        <v>0</v>
      </c>
      <c r="BJ25" s="131">
        <f t="shared" si="19"/>
        <v>0</v>
      </c>
    </row>
    <row r="26" spans="2:100" ht="15.75" customHeight="1">
      <c r="B26" s="14">
        <v>4</v>
      </c>
      <c r="C26" s="194">
        <f>PROPOSITION!C24</f>
        <v>0</v>
      </c>
      <c r="D26" s="1329" t="str">
        <f>PROPOSITION!D24</f>
        <v xml:space="preserve"> </v>
      </c>
      <c r="E26" s="1330"/>
      <c r="F26" s="1331"/>
      <c r="G26" s="1332" t="str">
        <f>PROPOSITION!G24</f>
        <v xml:space="preserve"> </v>
      </c>
      <c r="H26" s="1333"/>
      <c r="I26" s="1334"/>
      <c r="J26" s="1335" t="str">
        <f>PROPOSITION!J24</f>
        <v xml:space="preserve"> </v>
      </c>
      <c r="K26" s="1336"/>
      <c r="L26" s="1337"/>
      <c r="M26" s="1338" t="str">
        <f>PROPOSITION!M24</f>
        <v xml:space="preserve"> </v>
      </c>
      <c r="N26" s="1339"/>
      <c r="O26" s="1340"/>
      <c r="P26" s="1317">
        <f t="shared" si="5"/>
        <v>1.0000000000000001E-9</v>
      </c>
      <c r="Q26" s="1318"/>
      <c r="R26" s="1319">
        <v>45000</v>
      </c>
      <c r="S26" s="1320"/>
      <c r="T26" s="13">
        <f t="shared" si="6"/>
        <v>0</v>
      </c>
      <c r="U26" s="127">
        <f>EQUIPEMENTS!Z27</f>
        <v>4.9999999999999982E-2</v>
      </c>
      <c r="V26" s="13"/>
      <c r="W26" s="15"/>
      <c r="X26" s="35">
        <f t="shared" si="0"/>
        <v>9.9999999999999964E-2</v>
      </c>
      <c r="Y26" s="128">
        <f t="shared" si="7"/>
        <v>44.999999999999979</v>
      </c>
      <c r="Z26" s="129">
        <f t="shared" si="1"/>
        <v>9.9999999999999964E-2</v>
      </c>
      <c r="AA26" s="130">
        <f>'DBD app hide'!AA24</f>
        <v>5000</v>
      </c>
      <c r="AB26" s="141">
        <f t="shared" si="2"/>
        <v>44.999999999999979</v>
      </c>
      <c r="AC26" s="141">
        <f>MAX(((PROPOSITION!P24)),0.0000000001)</f>
        <v>1.0000000000000001E-9</v>
      </c>
      <c r="AD26" s="135">
        <f>MAX('DBD app hide'!T24,0.0000000000001)</f>
        <v>1E-13</v>
      </c>
      <c r="AE26" s="136" t="str">
        <f>F11</f>
        <v xml:space="preserve"> </v>
      </c>
      <c r="AF26" s="135">
        <f>IF($P$49&gt;999999,1,0)</f>
        <v>0</v>
      </c>
      <c r="AG26" s="135">
        <f t="shared" si="21"/>
        <v>0</v>
      </c>
      <c r="AH26" s="135">
        <f t="shared" si="8"/>
        <v>0</v>
      </c>
      <c r="AJ26" s="135">
        <f t="shared" si="9"/>
        <v>1</v>
      </c>
      <c r="AK26" s="135">
        <f t="shared" si="3"/>
        <v>0</v>
      </c>
      <c r="AL26" s="135">
        <f t="shared" si="10"/>
        <v>1</v>
      </c>
      <c r="AT26" s="135">
        <f t="shared" si="11"/>
        <v>0</v>
      </c>
      <c r="AX26" s="131">
        <f t="shared" si="12"/>
        <v>5</v>
      </c>
      <c r="AY26" s="131">
        <f t="shared" si="13"/>
        <v>5</v>
      </c>
      <c r="AZ26" s="131">
        <f t="shared" si="14"/>
        <v>10</v>
      </c>
      <c r="BC26" s="133">
        <f>[5]APPLICATION!AA24</f>
        <v>5000</v>
      </c>
      <c r="BD26" s="131">
        <f t="shared" si="15"/>
        <v>2</v>
      </c>
      <c r="BE26" s="131">
        <f t="shared" si="4"/>
        <v>0</v>
      </c>
      <c r="BF26" s="131">
        <f t="shared" si="16"/>
        <v>2</v>
      </c>
      <c r="BH26" s="131">
        <f t="shared" si="17"/>
        <v>0</v>
      </c>
      <c r="BI26" s="131">
        <f t="shared" si="18"/>
        <v>0</v>
      </c>
      <c r="BJ26" s="131">
        <f t="shared" si="19"/>
        <v>0</v>
      </c>
    </row>
    <row r="27" spans="2:100" ht="15.75" customHeight="1">
      <c r="B27" s="14">
        <v>5</v>
      </c>
      <c r="C27" s="194">
        <f>PROPOSITION!C25</f>
        <v>0</v>
      </c>
      <c r="D27" s="1329" t="str">
        <f>PROPOSITION!D25</f>
        <v xml:space="preserve"> </v>
      </c>
      <c r="E27" s="1330"/>
      <c r="F27" s="1331"/>
      <c r="G27" s="1332" t="str">
        <f>PROPOSITION!G25</f>
        <v xml:space="preserve"> </v>
      </c>
      <c r="H27" s="1333"/>
      <c r="I27" s="1334"/>
      <c r="J27" s="1335" t="str">
        <f>PROPOSITION!J25</f>
        <v xml:space="preserve"> </v>
      </c>
      <c r="K27" s="1336"/>
      <c r="L27" s="1337"/>
      <c r="M27" s="1338" t="str">
        <f>PROPOSITION!M25</f>
        <v xml:space="preserve"> </v>
      </c>
      <c r="N27" s="1339"/>
      <c r="O27" s="1340"/>
      <c r="P27" s="1317">
        <f t="shared" si="5"/>
        <v>1.0000000000000001E-9</v>
      </c>
      <c r="Q27" s="1318"/>
      <c r="R27" s="1319">
        <v>45000</v>
      </c>
      <c r="S27" s="1320"/>
      <c r="T27" s="13">
        <f t="shared" si="6"/>
        <v>0</v>
      </c>
      <c r="U27" s="127">
        <f>EQUIPEMENTS!Z28</f>
        <v>4.9999999999999982E-2</v>
      </c>
      <c r="V27" s="13"/>
      <c r="W27" s="15"/>
      <c r="X27" s="35">
        <f t="shared" si="0"/>
        <v>7.4999999999999969E-2</v>
      </c>
      <c r="Y27" s="128">
        <f t="shared" si="7"/>
        <v>33.749999999999986</v>
      </c>
      <c r="Z27" s="129">
        <f t="shared" si="1"/>
        <v>7.4999999999999969E-2</v>
      </c>
      <c r="AA27" s="130">
        <f>'DBD app hide'!AA25</f>
        <v>5000</v>
      </c>
      <c r="AB27" s="141">
        <f t="shared" si="2"/>
        <v>33.749999999999986</v>
      </c>
      <c r="AC27" s="141">
        <f>MAX(((PROPOSITION!P25)),0.0000000001)</f>
        <v>1.0000000000000001E-9</v>
      </c>
      <c r="AD27" s="135">
        <f>MAX('DBD app hide'!T25,0.0000000000001)</f>
        <v>1E-13</v>
      </c>
      <c r="AE27" s="136" t="str">
        <f>U8</f>
        <v xml:space="preserve"> </v>
      </c>
      <c r="AF27" s="135">
        <f>IF($P$49&gt;1499999,1,0)</f>
        <v>0</v>
      </c>
      <c r="AG27" s="135">
        <f t="shared" si="21"/>
        <v>0</v>
      </c>
      <c r="AH27" s="135">
        <f t="shared" si="8"/>
        <v>0</v>
      </c>
      <c r="AJ27" s="135">
        <f t="shared" si="9"/>
        <v>1</v>
      </c>
      <c r="AK27" s="135">
        <f t="shared" si="3"/>
        <v>0</v>
      </c>
      <c r="AL27" s="135">
        <f t="shared" si="10"/>
        <v>1</v>
      </c>
      <c r="AT27" s="135">
        <f t="shared" si="11"/>
        <v>0</v>
      </c>
      <c r="AX27" s="131">
        <f t="shared" si="12"/>
        <v>5</v>
      </c>
      <c r="AY27" s="131">
        <f t="shared" si="13"/>
        <v>5</v>
      </c>
      <c r="AZ27" s="131">
        <f t="shared" si="14"/>
        <v>10</v>
      </c>
      <c r="BC27" s="133">
        <f>[5]APPLICATION!AA25</f>
        <v>5000</v>
      </c>
      <c r="BD27" s="131">
        <f t="shared" si="15"/>
        <v>2</v>
      </c>
      <c r="BE27" s="131">
        <f t="shared" si="4"/>
        <v>0</v>
      </c>
      <c r="BF27" s="131">
        <f t="shared" si="16"/>
        <v>2</v>
      </c>
      <c r="BH27" s="131">
        <f t="shared" si="17"/>
        <v>0</v>
      </c>
      <c r="BI27" s="131">
        <f t="shared" si="18"/>
        <v>0</v>
      </c>
      <c r="BJ27" s="131">
        <f t="shared" si="19"/>
        <v>0</v>
      </c>
    </row>
    <row r="28" spans="2:100" ht="15.75" customHeight="1">
      <c r="B28" s="14">
        <v>6</v>
      </c>
      <c r="C28" s="194">
        <f>PROPOSITION!C26</f>
        <v>0</v>
      </c>
      <c r="D28" s="1329" t="str">
        <f>PROPOSITION!D26</f>
        <v xml:space="preserve"> </v>
      </c>
      <c r="E28" s="1330"/>
      <c r="F28" s="1331"/>
      <c r="G28" s="1332" t="str">
        <f>PROPOSITION!G26</f>
        <v xml:space="preserve"> </v>
      </c>
      <c r="H28" s="1333"/>
      <c r="I28" s="1334"/>
      <c r="J28" s="1335" t="str">
        <f>PROPOSITION!J26</f>
        <v xml:space="preserve"> </v>
      </c>
      <c r="K28" s="1336"/>
      <c r="L28" s="1337"/>
      <c r="M28" s="1338" t="str">
        <f>PROPOSITION!M26</f>
        <v xml:space="preserve"> </v>
      </c>
      <c r="N28" s="1339"/>
      <c r="O28" s="1340"/>
      <c r="P28" s="1317">
        <f t="shared" si="5"/>
        <v>1.0000000000000001E-9</v>
      </c>
      <c r="Q28" s="1318"/>
      <c r="R28" s="1319">
        <v>45000</v>
      </c>
      <c r="S28" s="1320"/>
      <c r="T28" s="13">
        <f t="shared" si="6"/>
        <v>0</v>
      </c>
      <c r="U28" s="127">
        <f>EQUIPEMENTS!Z29</f>
        <v>4.9999999999999982E-2</v>
      </c>
      <c r="V28" s="13"/>
      <c r="W28" s="15"/>
      <c r="X28" s="35">
        <f t="shared" si="0"/>
        <v>7.4999999999999969E-2</v>
      </c>
      <c r="Y28" s="128">
        <f t="shared" si="7"/>
        <v>33.749999999999986</v>
      </c>
      <c r="Z28" s="129">
        <f t="shared" si="1"/>
        <v>7.4999999999999969E-2</v>
      </c>
      <c r="AA28" s="130">
        <f>'DBD app hide'!AA26</f>
        <v>5000</v>
      </c>
      <c r="AB28" s="141">
        <f t="shared" si="2"/>
        <v>33.749999999999986</v>
      </c>
      <c r="AC28" s="141">
        <f>MAX(((PROPOSITION!P26)),0.0000000001)</f>
        <v>1.0000000000000001E-9</v>
      </c>
      <c r="AD28" s="135">
        <f>MAX('DBD app hide'!T26,0.0000000000001)</f>
        <v>1E-13</v>
      </c>
      <c r="AE28" s="136" t="str">
        <f>U11</f>
        <v xml:space="preserve"> </v>
      </c>
      <c r="AF28" s="135">
        <f>IF($P$49&gt;1999999,1,0)</f>
        <v>0</v>
      </c>
      <c r="AG28" s="135">
        <f t="shared" si="21"/>
        <v>0</v>
      </c>
      <c r="AH28" s="135">
        <f t="shared" si="8"/>
        <v>0</v>
      </c>
      <c r="AJ28" s="135">
        <f t="shared" si="9"/>
        <v>1</v>
      </c>
      <c r="AK28" s="135">
        <f t="shared" si="3"/>
        <v>0</v>
      </c>
      <c r="AL28" s="135">
        <f t="shared" si="10"/>
        <v>1</v>
      </c>
      <c r="AT28" s="135">
        <f t="shared" si="11"/>
        <v>0</v>
      </c>
      <c r="AX28" s="131">
        <f t="shared" si="12"/>
        <v>5</v>
      </c>
      <c r="AY28" s="131">
        <f t="shared" si="13"/>
        <v>5</v>
      </c>
      <c r="AZ28" s="131">
        <f t="shared" si="14"/>
        <v>10</v>
      </c>
      <c r="BC28" s="133">
        <f>[5]APPLICATION!AA26</f>
        <v>5000</v>
      </c>
      <c r="BD28" s="131">
        <f t="shared" si="15"/>
        <v>2</v>
      </c>
      <c r="BE28" s="131">
        <f t="shared" si="4"/>
        <v>0</v>
      </c>
      <c r="BF28" s="131">
        <f t="shared" si="16"/>
        <v>2</v>
      </c>
      <c r="BH28" s="131">
        <f t="shared" si="17"/>
        <v>0</v>
      </c>
      <c r="BI28" s="131">
        <f t="shared" si="18"/>
        <v>0</v>
      </c>
      <c r="BJ28" s="131">
        <f t="shared" si="19"/>
        <v>0</v>
      </c>
    </row>
    <row r="29" spans="2:100" ht="15.75" customHeight="1">
      <c r="B29" s="14">
        <v>7</v>
      </c>
      <c r="C29" s="194">
        <f>PROPOSITION!C27</f>
        <v>0</v>
      </c>
      <c r="D29" s="1329" t="str">
        <f>PROPOSITION!D27</f>
        <v xml:space="preserve"> </v>
      </c>
      <c r="E29" s="1330"/>
      <c r="F29" s="1331"/>
      <c r="G29" s="1332" t="str">
        <f>PROPOSITION!G27</f>
        <v xml:space="preserve"> </v>
      </c>
      <c r="H29" s="1333"/>
      <c r="I29" s="1334"/>
      <c r="J29" s="1335" t="str">
        <f>PROPOSITION!J27</f>
        <v xml:space="preserve"> </v>
      </c>
      <c r="K29" s="1336"/>
      <c r="L29" s="1337"/>
      <c r="M29" s="1338" t="str">
        <f>PROPOSITION!M27</f>
        <v xml:space="preserve"> </v>
      </c>
      <c r="N29" s="1339"/>
      <c r="O29" s="1340"/>
      <c r="P29" s="1317">
        <f t="shared" si="5"/>
        <v>1.0000000000000001E-9</v>
      </c>
      <c r="Q29" s="1318"/>
      <c r="R29" s="1319">
        <v>45000</v>
      </c>
      <c r="S29" s="1320"/>
      <c r="T29" s="13">
        <f t="shared" si="6"/>
        <v>0</v>
      </c>
      <c r="U29" s="127">
        <f>EQUIPEMENTS!Z30</f>
        <v>4.9999999999999982E-2</v>
      </c>
      <c r="V29" s="13"/>
      <c r="W29" s="15"/>
      <c r="X29" s="35">
        <f t="shared" si="0"/>
        <v>9.9999999999999964E-2</v>
      </c>
      <c r="Y29" s="128">
        <f t="shared" si="7"/>
        <v>44.999999999999979</v>
      </c>
      <c r="Z29" s="129">
        <f t="shared" si="1"/>
        <v>9.9999999999999964E-2</v>
      </c>
      <c r="AA29" s="130">
        <f>'DBD app hide'!AA27</f>
        <v>5000</v>
      </c>
      <c r="AB29" s="141">
        <f t="shared" si="2"/>
        <v>44.999999999999979</v>
      </c>
      <c r="AC29" s="141">
        <f>MAX(((PROPOSITION!P27)),0.0000000001)</f>
        <v>1.0000000000000001E-9</v>
      </c>
      <c r="AD29" s="135">
        <f>MAX('DBD app hide'!T27,0.0000000000001)</f>
        <v>1E-13</v>
      </c>
      <c r="AE29" s="142" t="str">
        <f>F13</f>
        <v xml:space="preserve"> </v>
      </c>
      <c r="AF29" s="135">
        <f>IF($P$49&gt;2499999,1,0)</f>
        <v>0</v>
      </c>
      <c r="AG29" s="135">
        <f t="shared" si="21"/>
        <v>0</v>
      </c>
      <c r="AH29" s="135">
        <f t="shared" si="8"/>
        <v>0</v>
      </c>
      <c r="AJ29" s="135">
        <f t="shared" si="9"/>
        <v>1</v>
      </c>
      <c r="AK29" s="135">
        <f t="shared" si="3"/>
        <v>0</v>
      </c>
      <c r="AL29" s="135">
        <f t="shared" si="10"/>
        <v>1</v>
      </c>
      <c r="AT29" s="135">
        <f t="shared" si="11"/>
        <v>0</v>
      </c>
      <c r="AX29" s="131">
        <f t="shared" si="12"/>
        <v>5</v>
      </c>
      <c r="AY29" s="131">
        <f t="shared" si="13"/>
        <v>5</v>
      </c>
      <c r="AZ29" s="131">
        <f t="shared" si="14"/>
        <v>10</v>
      </c>
      <c r="BC29" s="133">
        <f>[5]APPLICATION!AA27</f>
        <v>5000</v>
      </c>
      <c r="BD29" s="131">
        <f t="shared" si="15"/>
        <v>2</v>
      </c>
      <c r="BE29" s="131">
        <f t="shared" si="4"/>
        <v>0</v>
      </c>
      <c r="BF29" s="131">
        <f t="shared" si="16"/>
        <v>2</v>
      </c>
      <c r="BH29" s="131">
        <f t="shared" si="17"/>
        <v>0</v>
      </c>
      <c r="BI29" s="131">
        <f t="shared" si="18"/>
        <v>0</v>
      </c>
      <c r="BJ29" s="131">
        <f t="shared" si="19"/>
        <v>0</v>
      </c>
    </row>
    <row r="30" spans="2:100" ht="15.75" customHeight="1">
      <c r="B30" s="14">
        <v>8</v>
      </c>
      <c r="C30" s="194">
        <f>PROPOSITION!C28</f>
        <v>0</v>
      </c>
      <c r="D30" s="1329" t="str">
        <f>PROPOSITION!D28</f>
        <v xml:space="preserve"> </v>
      </c>
      <c r="E30" s="1330"/>
      <c r="F30" s="1331"/>
      <c r="G30" s="1332" t="str">
        <f>PROPOSITION!G28</f>
        <v xml:space="preserve"> </v>
      </c>
      <c r="H30" s="1333"/>
      <c r="I30" s="1334"/>
      <c r="J30" s="1335" t="str">
        <f>PROPOSITION!J28</f>
        <v xml:space="preserve"> </v>
      </c>
      <c r="K30" s="1336"/>
      <c r="L30" s="1337"/>
      <c r="M30" s="1338" t="str">
        <f>PROPOSITION!M28</f>
        <v xml:space="preserve"> </v>
      </c>
      <c r="N30" s="1339"/>
      <c r="O30" s="1340"/>
      <c r="P30" s="1317">
        <f t="shared" si="5"/>
        <v>1.0000000000000001E-9</v>
      </c>
      <c r="Q30" s="1318"/>
      <c r="R30" s="1319">
        <f t="shared" si="20"/>
        <v>1E-13</v>
      </c>
      <c r="S30" s="1320"/>
      <c r="T30" s="13">
        <f t="shared" si="6"/>
        <v>0</v>
      </c>
      <c r="U30" s="127">
        <f>EQUIPEMENTS!Z31</f>
        <v>4.9999999999999982E-2</v>
      </c>
      <c r="V30" s="13"/>
      <c r="W30" s="15"/>
      <c r="X30" s="35">
        <f t="shared" si="0"/>
        <v>7.4999999999999969E-2</v>
      </c>
      <c r="Y30" s="128">
        <f t="shared" si="7"/>
        <v>7.4999999999999961E-17</v>
      </c>
      <c r="Z30" s="129">
        <f t="shared" si="1"/>
        <v>7.4999999999999969E-2</v>
      </c>
      <c r="AA30" s="130">
        <f>'DBD app hide'!AA28</f>
        <v>5000</v>
      </c>
      <c r="AB30" s="141">
        <f t="shared" si="2"/>
        <v>7.4999999999999961E-17</v>
      </c>
      <c r="AC30" s="141">
        <f>MAX(((PROPOSITION!P28)),0.0000000001)</f>
        <v>1.0000000000000001E-9</v>
      </c>
      <c r="AD30" s="135">
        <f>MAX('DBD app hide'!T28,0.0000000000001)</f>
        <v>1E-13</v>
      </c>
      <c r="AE30" s="136" t="str">
        <f>U15</f>
        <v xml:space="preserve"> </v>
      </c>
      <c r="AF30" s="135">
        <f>IF($P$49&gt;2999999,1,0)</f>
        <v>0</v>
      </c>
      <c r="AG30" s="135">
        <f t="shared" si="21"/>
        <v>0</v>
      </c>
      <c r="AH30" s="135">
        <f t="shared" si="8"/>
        <v>0</v>
      </c>
      <c r="AJ30" s="135">
        <f t="shared" si="9"/>
        <v>1</v>
      </c>
      <c r="AK30" s="135">
        <f t="shared" si="3"/>
        <v>0</v>
      </c>
      <c r="AL30" s="135">
        <f t="shared" si="10"/>
        <v>1</v>
      </c>
      <c r="AT30" s="135">
        <f t="shared" si="11"/>
        <v>0</v>
      </c>
      <c r="AX30" s="131">
        <f t="shared" si="12"/>
        <v>5</v>
      </c>
      <c r="AY30" s="131">
        <f t="shared" si="13"/>
        <v>5</v>
      </c>
      <c r="AZ30" s="131">
        <f t="shared" si="14"/>
        <v>10</v>
      </c>
      <c r="BC30" s="133">
        <f>[5]APPLICATION!AA28</f>
        <v>5000</v>
      </c>
      <c r="BD30" s="131">
        <f t="shared" si="15"/>
        <v>2</v>
      </c>
      <c r="BE30" s="131">
        <f t="shared" si="4"/>
        <v>0</v>
      </c>
      <c r="BF30" s="131">
        <f t="shared" si="16"/>
        <v>2</v>
      </c>
      <c r="BH30" s="131">
        <f t="shared" si="17"/>
        <v>0</v>
      </c>
      <c r="BI30" s="131">
        <f t="shared" si="18"/>
        <v>0</v>
      </c>
      <c r="BJ30" s="131">
        <f t="shared" si="19"/>
        <v>0</v>
      </c>
    </row>
    <row r="31" spans="2:100" ht="15.75" customHeight="1">
      <c r="B31" s="14">
        <v>9</v>
      </c>
      <c r="C31" s="194">
        <f>PROPOSITION!C29</f>
        <v>0</v>
      </c>
      <c r="D31" s="1329" t="str">
        <f>PROPOSITION!D29</f>
        <v xml:space="preserve"> </v>
      </c>
      <c r="E31" s="1330"/>
      <c r="F31" s="1331"/>
      <c r="G31" s="1332" t="str">
        <f>PROPOSITION!G29</f>
        <v xml:space="preserve"> </v>
      </c>
      <c r="H31" s="1333"/>
      <c r="I31" s="1334"/>
      <c r="J31" s="1335" t="str">
        <f>PROPOSITION!J29</f>
        <v xml:space="preserve"> </v>
      </c>
      <c r="K31" s="1336"/>
      <c r="L31" s="1337"/>
      <c r="M31" s="1338" t="str">
        <f>PROPOSITION!M29</f>
        <v xml:space="preserve"> </v>
      </c>
      <c r="N31" s="1339"/>
      <c r="O31" s="1340"/>
      <c r="P31" s="1317">
        <f t="shared" si="5"/>
        <v>1.0000000000000001E-9</v>
      </c>
      <c r="Q31" s="1318"/>
      <c r="R31" s="1319">
        <f t="shared" si="20"/>
        <v>1E-13</v>
      </c>
      <c r="S31" s="1320"/>
      <c r="T31" s="13">
        <f t="shared" si="6"/>
        <v>0</v>
      </c>
      <c r="U31" s="127">
        <f>EQUIPEMENTS!Z32</f>
        <v>4.9999999999999982E-2</v>
      </c>
      <c r="V31" s="13"/>
      <c r="W31" s="15"/>
      <c r="X31" s="35">
        <f t="shared" si="0"/>
        <v>7.4999999999999969E-2</v>
      </c>
      <c r="Y31" s="128">
        <f t="shared" si="7"/>
        <v>7.4999999999999961E-17</v>
      </c>
      <c r="Z31" s="129">
        <f t="shared" si="1"/>
        <v>7.4999999999999969E-2</v>
      </c>
      <c r="AA31" s="130">
        <f>'DBD app hide'!AA29</f>
        <v>5000</v>
      </c>
      <c r="AB31" s="141">
        <f t="shared" si="2"/>
        <v>7.4999999999999961E-17</v>
      </c>
      <c r="AC31" s="141">
        <f>MAX(((PROPOSITION!P29)),0.0000000001)</f>
        <v>1.0000000000000001E-9</v>
      </c>
      <c r="AD31" s="135">
        <f>MAX('DBD app hide'!T29,0.0000000000001)</f>
        <v>1E-13</v>
      </c>
      <c r="AE31" s="143">
        <f>U13</f>
        <v>0</v>
      </c>
      <c r="AF31" s="135">
        <f>IF($P$49&gt;3999999,1,0)</f>
        <v>0</v>
      </c>
      <c r="AG31" s="135">
        <f t="shared" si="21"/>
        <v>0</v>
      </c>
      <c r="AH31" s="135">
        <f t="shared" si="8"/>
        <v>0</v>
      </c>
      <c r="AJ31" s="135">
        <f t="shared" si="9"/>
        <v>1</v>
      </c>
      <c r="AK31" s="135">
        <f t="shared" si="3"/>
        <v>0</v>
      </c>
      <c r="AL31" s="135">
        <f t="shared" si="10"/>
        <v>1</v>
      </c>
      <c r="AT31" s="135">
        <f t="shared" si="11"/>
        <v>0</v>
      </c>
      <c r="AX31" s="131">
        <f t="shared" si="12"/>
        <v>5</v>
      </c>
      <c r="AY31" s="131">
        <f t="shared" si="13"/>
        <v>5</v>
      </c>
      <c r="AZ31" s="131">
        <f t="shared" si="14"/>
        <v>10</v>
      </c>
      <c r="BC31" s="133">
        <f>[5]APPLICATION!AA29</f>
        <v>5000</v>
      </c>
      <c r="BD31" s="131">
        <f t="shared" si="15"/>
        <v>2</v>
      </c>
      <c r="BE31" s="131">
        <f t="shared" si="4"/>
        <v>0</v>
      </c>
      <c r="BF31" s="131">
        <f t="shared" si="16"/>
        <v>2</v>
      </c>
      <c r="BH31" s="131">
        <f t="shared" si="17"/>
        <v>0</v>
      </c>
      <c r="BI31" s="131">
        <f t="shared" si="18"/>
        <v>0</v>
      </c>
      <c r="BJ31" s="131">
        <f t="shared" si="19"/>
        <v>0</v>
      </c>
    </row>
    <row r="32" spans="2:100" ht="15.75" customHeight="1">
      <c r="B32" s="14">
        <v>10</v>
      </c>
      <c r="C32" s="194">
        <f>PROPOSITION!C30</f>
        <v>0</v>
      </c>
      <c r="D32" s="1329" t="str">
        <f>PROPOSITION!D30</f>
        <v xml:space="preserve"> </v>
      </c>
      <c r="E32" s="1330"/>
      <c r="F32" s="1331"/>
      <c r="G32" s="1332" t="str">
        <f>PROPOSITION!G30</f>
        <v xml:space="preserve"> </v>
      </c>
      <c r="H32" s="1333"/>
      <c r="I32" s="1334"/>
      <c r="J32" s="1335" t="str">
        <f>PROPOSITION!J30</f>
        <v xml:space="preserve"> </v>
      </c>
      <c r="K32" s="1336"/>
      <c r="L32" s="1337"/>
      <c r="M32" s="1338" t="str">
        <f>PROPOSITION!M30</f>
        <v xml:space="preserve"> </v>
      </c>
      <c r="N32" s="1339"/>
      <c r="O32" s="1340"/>
      <c r="P32" s="1317">
        <f t="shared" si="5"/>
        <v>1.0000000000000001E-9</v>
      </c>
      <c r="Q32" s="1318"/>
      <c r="R32" s="1319">
        <f t="shared" si="20"/>
        <v>1E-13</v>
      </c>
      <c r="S32" s="1320"/>
      <c r="T32" s="13">
        <f t="shared" si="6"/>
        <v>0</v>
      </c>
      <c r="U32" s="127">
        <f>EQUIPEMENTS!Z33</f>
        <v>4.9999999999999982E-2</v>
      </c>
      <c r="V32" s="13"/>
      <c r="W32" s="15"/>
      <c r="X32" s="35">
        <f t="shared" si="0"/>
        <v>7.4999999999999969E-2</v>
      </c>
      <c r="Y32" s="128">
        <f t="shared" si="7"/>
        <v>7.4999999999999961E-17</v>
      </c>
      <c r="Z32" s="129">
        <f t="shared" si="1"/>
        <v>7.4999999999999969E-2</v>
      </c>
      <c r="AA32" s="130">
        <f>'DBD app hide'!AA30</f>
        <v>5000</v>
      </c>
      <c r="AB32" s="141">
        <f t="shared" si="2"/>
        <v>7.4999999999999961E-17</v>
      </c>
      <c r="AC32" s="141">
        <f>MAX(((PROPOSITION!P30)),0.0000000001)</f>
        <v>1.0000000000000001E-9</v>
      </c>
      <c r="AD32" s="135">
        <f>MAX('DBD app hide'!T30,0.0000000000001)</f>
        <v>1E-13</v>
      </c>
      <c r="AE32" s="142" t="str">
        <f>F15</f>
        <v xml:space="preserve"> </v>
      </c>
      <c r="AF32" s="135">
        <f>IF($P$49&gt;4999999,1,0)</f>
        <v>0</v>
      </c>
      <c r="AG32" s="135">
        <f t="shared" si="21"/>
        <v>0</v>
      </c>
      <c r="AH32" s="135">
        <f t="shared" si="8"/>
        <v>0</v>
      </c>
      <c r="AJ32" s="135">
        <f t="shared" si="9"/>
        <v>1</v>
      </c>
      <c r="AK32" s="135">
        <f t="shared" si="3"/>
        <v>0</v>
      </c>
      <c r="AL32" s="135">
        <f t="shared" si="10"/>
        <v>1</v>
      </c>
      <c r="AT32" s="135">
        <f t="shared" si="11"/>
        <v>0</v>
      </c>
      <c r="AX32" s="131">
        <f t="shared" si="12"/>
        <v>5</v>
      </c>
      <c r="AY32" s="131">
        <f t="shared" si="13"/>
        <v>5</v>
      </c>
      <c r="AZ32" s="131">
        <f t="shared" si="14"/>
        <v>10</v>
      </c>
      <c r="BC32" s="133">
        <f>[5]APPLICATION!AA30</f>
        <v>5000</v>
      </c>
      <c r="BD32" s="131">
        <f t="shared" si="15"/>
        <v>2</v>
      </c>
      <c r="BE32" s="131">
        <f t="shared" si="4"/>
        <v>0</v>
      </c>
      <c r="BF32" s="131">
        <f t="shared" si="16"/>
        <v>2</v>
      </c>
      <c r="BH32" s="131">
        <f t="shared" si="17"/>
        <v>0</v>
      </c>
      <c r="BI32" s="131">
        <f t="shared" si="18"/>
        <v>0</v>
      </c>
      <c r="BJ32" s="131">
        <f t="shared" si="19"/>
        <v>0</v>
      </c>
    </row>
    <row r="33" spans="2:99" ht="15.75" customHeight="1">
      <c r="B33" s="14">
        <v>11</v>
      </c>
      <c r="C33" s="194">
        <f>PROPOSITION!C31</f>
        <v>0</v>
      </c>
      <c r="D33" s="1329" t="str">
        <f>PROPOSITION!D31</f>
        <v xml:space="preserve"> </v>
      </c>
      <c r="E33" s="1330"/>
      <c r="F33" s="1331"/>
      <c r="G33" s="1332" t="str">
        <f>PROPOSITION!G31</f>
        <v xml:space="preserve"> </v>
      </c>
      <c r="H33" s="1333"/>
      <c r="I33" s="1334"/>
      <c r="J33" s="1335" t="str">
        <f>PROPOSITION!J31</f>
        <v xml:space="preserve"> </v>
      </c>
      <c r="K33" s="1336"/>
      <c r="L33" s="1337"/>
      <c r="M33" s="1338" t="str">
        <f>PROPOSITION!M31</f>
        <v xml:space="preserve"> </v>
      </c>
      <c r="N33" s="1339"/>
      <c r="O33" s="1340"/>
      <c r="P33" s="1317">
        <f t="shared" si="5"/>
        <v>1.0000000000000001E-9</v>
      </c>
      <c r="Q33" s="1318"/>
      <c r="R33" s="1319">
        <f t="shared" si="20"/>
        <v>1E-13</v>
      </c>
      <c r="S33" s="1320"/>
      <c r="T33" s="13">
        <f t="shared" si="6"/>
        <v>0</v>
      </c>
      <c r="U33" s="127">
        <f>EQUIPEMENTS!Z34</f>
        <v>4.9999999999999982E-2</v>
      </c>
      <c r="V33" s="13"/>
      <c r="W33" s="15"/>
      <c r="X33" s="35">
        <f t="shared" si="0"/>
        <v>7.4999999999999969E-2</v>
      </c>
      <c r="Y33" s="128">
        <f t="shared" si="7"/>
        <v>7.4999999999999961E-17</v>
      </c>
      <c r="Z33" s="129">
        <f t="shared" si="1"/>
        <v>7.4999999999999969E-2</v>
      </c>
      <c r="AA33" s="130">
        <f>'DBD app hide'!AA31</f>
        <v>5000</v>
      </c>
      <c r="AB33" s="141">
        <f t="shared" si="2"/>
        <v>7.4999999999999961E-17</v>
      </c>
      <c r="AC33" s="141">
        <f>MAX(((PROPOSITION!P31)),0.0000000001)</f>
        <v>1.0000000000000001E-9</v>
      </c>
      <c r="AD33" s="135">
        <f>MAX('DBD app hide'!T31,0.0000000000001)</f>
        <v>1E-13</v>
      </c>
      <c r="AF33" s="135">
        <f>SUM(AF23:AF32)</f>
        <v>2</v>
      </c>
      <c r="AG33" s="135">
        <f t="shared" si="21"/>
        <v>0</v>
      </c>
      <c r="AH33" s="135">
        <f t="shared" si="8"/>
        <v>0</v>
      </c>
      <c r="AJ33" s="135">
        <f t="shared" si="9"/>
        <v>1</v>
      </c>
      <c r="AK33" s="135">
        <f t="shared" si="3"/>
        <v>0</v>
      </c>
      <c r="AL33" s="135">
        <f t="shared" si="10"/>
        <v>1</v>
      </c>
      <c r="AT33" s="135">
        <f t="shared" si="11"/>
        <v>0</v>
      </c>
      <c r="AX33" s="131">
        <f t="shared" si="12"/>
        <v>5</v>
      </c>
      <c r="AY33" s="131">
        <f t="shared" si="13"/>
        <v>5</v>
      </c>
      <c r="AZ33" s="131">
        <f t="shared" si="14"/>
        <v>10</v>
      </c>
      <c r="BC33" s="133">
        <f>[5]APPLICATION!AA31</f>
        <v>5000</v>
      </c>
      <c r="BD33" s="131">
        <f t="shared" si="15"/>
        <v>2</v>
      </c>
      <c r="BE33" s="131">
        <f t="shared" si="4"/>
        <v>0</v>
      </c>
      <c r="BF33" s="131">
        <f t="shared" si="16"/>
        <v>2</v>
      </c>
      <c r="BH33" s="131">
        <f t="shared" si="17"/>
        <v>0</v>
      </c>
      <c r="BI33" s="131">
        <f t="shared" si="18"/>
        <v>0</v>
      </c>
      <c r="BJ33" s="131">
        <f t="shared" si="19"/>
        <v>0</v>
      </c>
    </row>
    <row r="34" spans="2:99" ht="15.75" customHeight="1">
      <c r="B34" s="14">
        <v>12</v>
      </c>
      <c r="C34" s="194">
        <f>PROPOSITION!C32</f>
        <v>0</v>
      </c>
      <c r="D34" s="1329" t="str">
        <f>PROPOSITION!D32</f>
        <v xml:space="preserve"> </v>
      </c>
      <c r="E34" s="1330"/>
      <c r="F34" s="1331"/>
      <c r="G34" s="1332" t="str">
        <f>PROPOSITION!G32</f>
        <v xml:space="preserve"> </v>
      </c>
      <c r="H34" s="1333"/>
      <c r="I34" s="1334"/>
      <c r="J34" s="1335" t="str">
        <f>PROPOSITION!J32</f>
        <v xml:space="preserve"> </v>
      </c>
      <c r="K34" s="1336"/>
      <c r="L34" s="1337"/>
      <c r="M34" s="1338" t="str">
        <f>PROPOSITION!M32</f>
        <v xml:space="preserve"> </v>
      </c>
      <c r="N34" s="1339"/>
      <c r="O34" s="1340"/>
      <c r="P34" s="1317">
        <f t="shared" si="5"/>
        <v>1.0000000000000001E-9</v>
      </c>
      <c r="Q34" s="1318"/>
      <c r="R34" s="1319">
        <f t="shared" si="20"/>
        <v>1E-13</v>
      </c>
      <c r="S34" s="1320"/>
      <c r="T34" s="13">
        <f t="shared" si="6"/>
        <v>0</v>
      </c>
      <c r="U34" s="127">
        <f>EQUIPEMENTS!Z35</f>
        <v>4.9999999999999982E-2</v>
      </c>
      <c r="V34" s="13"/>
      <c r="W34" s="15"/>
      <c r="X34" s="35">
        <f t="shared" si="0"/>
        <v>9.9999999999999964E-2</v>
      </c>
      <c r="Y34" s="128">
        <f t="shared" si="7"/>
        <v>9.9999999999999973E-17</v>
      </c>
      <c r="Z34" s="129">
        <f t="shared" si="1"/>
        <v>9.9999999999999964E-2</v>
      </c>
      <c r="AA34" s="130">
        <f>'DBD app hide'!AA32</f>
        <v>5000</v>
      </c>
      <c r="AB34" s="141">
        <f t="shared" si="2"/>
        <v>9.9999999999999973E-17</v>
      </c>
      <c r="AC34" s="141">
        <f>MAX(((PROPOSITION!P32)),0.0000000001)</f>
        <v>1.0000000000000001E-9</v>
      </c>
      <c r="AD34" s="135">
        <f>MAX('DBD app hide'!T32,0.0000000000001)</f>
        <v>1E-13</v>
      </c>
      <c r="AE34" s="144">
        <f>Y2</f>
        <v>0</v>
      </c>
      <c r="AG34" s="135">
        <f t="shared" si="21"/>
        <v>0</v>
      </c>
      <c r="AH34" s="135">
        <f t="shared" si="8"/>
        <v>0</v>
      </c>
      <c r="AJ34" s="135">
        <f t="shared" si="9"/>
        <v>1</v>
      </c>
      <c r="AK34" s="135">
        <f t="shared" si="3"/>
        <v>0</v>
      </c>
      <c r="AL34" s="135">
        <f t="shared" si="10"/>
        <v>1</v>
      </c>
      <c r="AT34" s="135">
        <f t="shared" si="11"/>
        <v>0</v>
      </c>
      <c r="AX34" s="131">
        <f t="shared" si="12"/>
        <v>5</v>
      </c>
      <c r="AY34" s="131">
        <f t="shared" si="13"/>
        <v>5</v>
      </c>
      <c r="AZ34" s="131">
        <f t="shared" si="14"/>
        <v>10</v>
      </c>
      <c r="BC34" s="133">
        <f>[5]APPLICATION!AA32</f>
        <v>5000</v>
      </c>
      <c r="BD34" s="131">
        <f t="shared" si="15"/>
        <v>2</v>
      </c>
      <c r="BE34" s="131">
        <f t="shared" si="4"/>
        <v>0</v>
      </c>
      <c r="BF34" s="131">
        <f t="shared" si="16"/>
        <v>2</v>
      </c>
      <c r="BH34" s="131">
        <f t="shared" si="17"/>
        <v>0</v>
      </c>
      <c r="BI34" s="131">
        <f t="shared" si="18"/>
        <v>0</v>
      </c>
      <c r="BJ34" s="131">
        <f t="shared" si="19"/>
        <v>0</v>
      </c>
    </row>
    <row r="35" spans="2:99" ht="15.75" customHeight="1">
      <c r="B35" s="14">
        <v>13</v>
      </c>
      <c r="C35" s="194">
        <f>PROPOSITION!C33</f>
        <v>0</v>
      </c>
      <c r="D35" s="1329" t="str">
        <f>PROPOSITION!D33</f>
        <v xml:space="preserve"> </v>
      </c>
      <c r="E35" s="1330"/>
      <c r="F35" s="1331"/>
      <c r="G35" s="1332" t="str">
        <f>PROPOSITION!G33</f>
        <v xml:space="preserve"> </v>
      </c>
      <c r="H35" s="1333"/>
      <c r="I35" s="1334"/>
      <c r="J35" s="1335" t="str">
        <f>PROPOSITION!J33</f>
        <v xml:space="preserve"> </v>
      </c>
      <c r="K35" s="1336"/>
      <c r="L35" s="1337"/>
      <c r="M35" s="1338" t="str">
        <f>PROPOSITION!M33</f>
        <v xml:space="preserve"> </v>
      </c>
      <c r="N35" s="1339"/>
      <c r="O35" s="1340"/>
      <c r="P35" s="1317">
        <f t="shared" si="5"/>
        <v>1.0000000000000001E-9</v>
      </c>
      <c r="Q35" s="1318"/>
      <c r="R35" s="1319">
        <f t="shared" si="20"/>
        <v>1E-13</v>
      </c>
      <c r="S35" s="1320"/>
      <c r="T35" s="13">
        <f t="shared" si="6"/>
        <v>0</v>
      </c>
      <c r="U35" s="127">
        <f>EQUIPEMENTS!Z36</f>
        <v>4.9999999999999982E-2</v>
      </c>
      <c r="V35" s="13"/>
      <c r="W35" s="15"/>
      <c r="X35" s="35">
        <f t="shared" si="0"/>
        <v>7.4999999999999969E-2</v>
      </c>
      <c r="Y35" s="128">
        <f t="shared" si="7"/>
        <v>7.4999999999999961E-17</v>
      </c>
      <c r="Z35" s="129">
        <f t="shared" si="1"/>
        <v>7.4999999999999969E-2</v>
      </c>
      <c r="AA35" s="130">
        <f>'DBD app hide'!AA33</f>
        <v>5000</v>
      </c>
      <c r="AB35" s="141">
        <f t="shared" si="2"/>
        <v>7.4999999999999961E-17</v>
      </c>
      <c r="AC35" s="141">
        <f>MAX(((PROPOSITION!P33)),0.0000000001)</f>
        <v>1.0000000000000001E-9</v>
      </c>
      <c r="AD35" s="135">
        <f>MAX('DBD app hide'!T33,0.0000000000001)</f>
        <v>1E-13</v>
      </c>
      <c r="AE35" s="144">
        <f>P49</f>
        <v>2.4999999999999996E-8</v>
      </c>
      <c r="AG35" s="135">
        <f t="shared" si="21"/>
        <v>0</v>
      </c>
      <c r="AH35" s="135">
        <f t="shared" si="8"/>
        <v>0</v>
      </c>
      <c r="AJ35" s="135">
        <f t="shared" si="9"/>
        <v>1</v>
      </c>
      <c r="AK35" s="135">
        <f t="shared" si="3"/>
        <v>0</v>
      </c>
      <c r="AL35" s="135">
        <f t="shared" si="10"/>
        <v>1</v>
      </c>
      <c r="AT35" s="135">
        <f t="shared" si="11"/>
        <v>0</v>
      </c>
      <c r="AX35" s="131">
        <f t="shared" si="12"/>
        <v>5</v>
      </c>
      <c r="AY35" s="131">
        <f t="shared" si="13"/>
        <v>5</v>
      </c>
      <c r="AZ35" s="131">
        <f t="shared" si="14"/>
        <v>10</v>
      </c>
      <c r="BC35" s="133">
        <f>[5]APPLICATION!AA33</f>
        <v>5000</v>
      </c>
      <c r="BD35" s="131">
        <f t="shared" si="15"/>
        <v>2</v>
      </c>
      <c r="BE35" s="131">
        <f t="shared" si="4"/>
        <v>0</v>
      </c>
      <c r="BF35" s="131">
        <f t="shared" si="16"/>
        <v>2</v>
      </c>
      <c r="BH35" s="131">
        <f t="shared" si="17"/>
        <v>0</v>
      </c>
      <c r="BI35" s="131">
        <f t="shared" si="18"/>
        <v>0</v>
      </c>
      <c r="BJ35" s="131">
        <f t="shared" si="19"/>
        <v>0</v>
      </c>
    </row>
    <row r="36" spans="2:99" ht="15.75" customHeight="1">
      <c r="B36" s="14">
        <v>14</v>
      </c>
      <c r="C36" s="194">
        <f>PROPOSITION!C34</f>
        <v>0</v>
      </c>
      <c r="D36" s="1329" t="str">
        <f>PROPOSITION!D34</f>
        <v xml:space="preserve"> </v>
      </c>
      <c r="E36" s="1330"/>
      <c r="F36" s="1331"/>
      <c r="G36" s="1332" t="str">
        <f>PROPOSITION!G34</f>
        <v xml:space="preserve"> </v>
      </c>
      <c r="H36" s="1333"/>
      <c r="I36" s="1334"/>
      <c r="J36" s="1335" t="str">
        <f>PROPOSITION!J34</f>
        <v xml:space="preserve"> </v>
      </c>
      <c r="K36" s="1336"/>
      <c r="L36" s="1337"/>
      <c r="M36" s="1338" t="str">
        <f>PROPOSITION!M34</f>
        <v xml:space="preserve"> </v>
      </c>
      <c r="N36" s="1339"/>
      <c r="O36" s="1340"/>
      <c r="P36" s="1317">
        <f t="shared" si="5"/>
        <v>1.0000000000000001E-9</v>
      </c>
      <c r="Q36" s="1318"/>
      <c r="R36" s="1319">
        <f t="shared" si="20"/>
        <v>1E-13</v>
      </c>
      <c r="S36" s="1320"/>
      <c r="T36" s="13">
        <f t="shared" si="6"/>
        <v>0</v>
      </c>
      <c r="U36" s="127">
        <f>EQUIPEMENTS!Z37</f>
        <v>4.9999999999999982E-2</v>
      </c>
      <c r="V36" s="13"/>
      <c r="W36" s="15"/>
      <c r="X36" s="35">
        <f t="shared" si="0"/>
        <v>7.4999999999999969E-2</v>
      </c>
      <c r="Y36" s="128">
        <f t="shared" si="7"/>
        <v>7.4999999999999961E-17</v>
      </c>
      <c r="Z36" s="129">
        <f t="shared" si="1"/>
        <v>7.4999999999999969E-2</v>
      </c>
      <c r="AA36" s="130">
        <f>'DBD app hide'!AA34</f>
        <v>5000</v>
      </c>
      <c r="AB36" s="141">
        <f t="shared" si="2"/>
        <v>7.4999999999999961E-17</v>
      </c>
      <c r="AC36" s="141">
        <f>MAX(((PROPOSITION!P34)),0.0000000001)</f>
        <v>1.0000000000000001E-9</v>
      </c>
      <c r="AD36" s="135">
        <f>MAX('DBD app hide'!T34,0.0000000000001)</f>
        <v>1E-13</v>
      </c>
      <c r="AE36" s="144">
        <f>Y49</f>
        <v>191.24999999999991</v>
      </c>
      <c r="AG36" s="135">
        <f t="shared" si="21"/>
        <v>0</v>
      </c>
      <c r="AH36" s="135">
        <f t="shared" si="8"/>
        <v>0</v>
      </c>
      <c r="AJ36" s="135">
        <f t="shared" si="9"/>
        <v>1</v>
      </c>
      <c r="AK36" s="135">
        <f t="shared" si="3"/>
        <v>0</v>
      </c>
      <c r="AL36" s="135">
        <f t="shared" si="10"/>
        <v>1</v>
      </c>
      <c r="AT36" s="135">
        <f t="shared" si="11"/>
        <v>0</v>
      </c>
      <c r="AX36" s="131">
        <f t="shared" si="12"/>
        <v>5</v>
      </c>
      <c r="AY36" s="131">
        <f t="shared" si="13"/>
        <v>5</v>
      </c>
      <c r="AZ36" s="131">
        <f t="shared" si="14"/>
        <v>10</v>
      </c>
      <c r="BC36" s="133">
        <f>[5]APPLICATION!AA34</f>
        <v>5000</v>
      </c>
      <c r="BD36" s="131">
        <f t="shared" si="15"/>
        <v>2</v>
      </c>
      <c r="BE36" s="131">
        <f t="shared" si="4"/>
        <v>0</v>
      </c>
      <c r="BF36" s="131">
        <f t="shared" si="16"/>
        <v>2</v>
      </c>
      <c r="BH36" s="131">
        <f t="shared" si="17"/>
        <v>0</v>
      </c>
      <c r="BI36" s="131">
        <f t="shared" si="18"/>
        <v>0</v>
      </c>
      <c r="BJ36" s="131">
        <f t="shared" si="19"/>
        <v>0</v>
      </c>
    </row>
    <row r="37" spans="2:99" ht="15.75" customHeight="1">
      <c r="B37" s="14">
        <v>15</v>
      </c>
      <c r="C37" s="194">
        <f>PROPOSITION!C35</f>
        <v>0</v>
      </c>
      <c r="D37" s="1329" t="str">
        <f>PROPOSITION!D35</f>
        <v xml:space="preserve"> </v>
      </c>
      <c r="E37" s="1330"/>
      <c r="F37" s="1331"/>
      <c r="G37" s="1332" t="str">
        <f>PROPOSITION!G35</f>
        <v xml:space="preserve"> </v>
      </c>
      <c r="H37" s="1333"/>
      <c r="I37" s="1334"/>
      <c r="J37" s="1335" t="str">
        <f>PROPOSITION!J35</f>
        <v xml:space="preserve"> </v>
      </c>
      <c r="K37" s="1336"/>
      <c r="L37" s="1337"/>
      <c r="M37" s="1338" t="str">
        <f>PROPOSITION!M35</f>
        <v xml:space="preserve"> </v>
      </c>
      <c r="N37" s="1339"/>
      <c r="O37" s="1340"/>
      <c r="P37" s="1317">
        <f t="shared" si="5"/>
        <v>1.0000000000000001E-9</v>
      </c>
      <c r="Q37" s="1318"/>
      <c r="R37" s="1319">
        <f t="shared" si="20"/>
        <v>1E-13</v>
      </c>
      <c r="S37" s="1320"/>
      <c r="T37" s="13">
        <f t="shared" si="6"/>
        <v>0</v>
      </c>
      <c r="U37" s="127">
        <f>EQUIPEMENTS!Z38</f>
        <v>4.9999999999999982E-2</v>
      </c>
      <c r="V37" s="13"/>
      <c r="W37" s="15"/>
      <c r="X37" s="35">
        <f t="shared" si="0"/>
        <v>7.4999999999999969E-2</v>
      </c>
      <c r="Y37" s="128">
        <f t="shared" si="7"/>
        <v>7.4999999999999961E-17</v>
      </c>
      <c r="Z37" s="129">
        <f t="shared" si="1"/>
        <v>7.4999999999999969E-2</v>
      </c>
      <c r="AA37" s="130">
        <f>'DBD app hide'!AA35</f>
        <v>5000</v>
      </c>
      <c r="AB37" s="141">
        <f t="shared" si="2"/>
        <v>7.4999999999999961E-17</v>
      </c>
      <c r="AC37" s="141">
        <f>MAX(((PROPOSITION!P35)),0.0000000001)</f>
        <v>1.0000000000000001E-9</v>
      </c>
      <c r="AD37" s="135">
        <f>MAX('DBD app hide'!T35,0.0000000000001)</f>
        <v>1E-13</v>
      </c>
      <c r="AE37" s="144" t="e">
        <f>#REF!</f>
        <v>#REF!</v>
      </c>
      <c r="AG37" s="135">
        <f t="shared" si="21"/>
        <v>0</v>
      </c>
      <c r="AH37" s="135">
        <f t="shared" si="8"/>
        <v>0</v>
      </c>
      <c r="AJ37" s="135">
        <f t="shared" si="9"/>
        <v>1</v>
      </c>
      <c r="AK37" s="135">
        <f t="shared" si="3"/>
        <v>0</v>
      </c>
      <c r="AL37" s="135">
        <f t="shared" si="10"/>
        <v>1</v>
      </c>
      <c r="AT37" s="135">
        <f t="shared" si="11"/>
        <v>0</v>
      </c>
      <c r="AX37" s="131">
        <f t="shared" si="12"/>
        <v>5</v>
      </c>
      <c r="AY37" s="131">
        <f t="shared" si="13"/>
        <v>5</v>
      </c>
      <c r="AZ37" s="131">
        <f t="shared" si="14"/>
        <v>10</v>
      </c>
      <c r="BC37" s="133">
        <f>[5]APPLICATION!AA35</f>
        <v>5000</v>
      </c>
      <c r="BD37" s="131">
        <f t="shared" si="15"/>
        <v>2</v>
      </c>
      <c r="BE37" s="131">
        <f t="shared" si="4"/>
        <v>0</v>
      </c>
      <c r="BF37" s="131">
        <f t="shared" si="16"/>
        <v>2</v>
      </c>
      <c r="BH37" s="131">
        <f t="shared" si="17"/>
        <v>0</v>
      </c>
      <c r="BI37" s="131">
        <f t="shared" si="18"/>
        <v>0</v>
      </c>
      <c r="BJ37" s="131">
        <f t="shared" si="19"/>
        <v>0</v>
      </c>
    </row>
    <row r="38" spans="2:99" ht="15.75" customHeight="1">
      <c r="B38" s="14">
        <v>16</v>
      </c>
      <c r="C38" s="194">
        <f>PROPOSITION!C36</f>
        <v>0</v>
      </c>
      <c r="D38" s="1329" t="str">
        <f>PROPOSITION!D36</f>
        <v xml:space="preserve"> </v>
      </c>
      <c r="E38" s="1330"/>
      <c r="F38" s="1331"/>
      <c r="G38" s="1332" t="str">
        <f>PROPOSITION!G36</f>
        <v xml:space="preserve"> </v>
      </c>
      <c r="H38" s="1333"/>
      <c r="I38" s="1334"/>
      <c r="J38" s="1335" t="str">
        <f>PROPOSITION!J36</f>
        <v xml:space="preserve"> </v>
      </c>
      <c r="K38" s="1336"/>
      <c r="L38" s="1337"/>
      <c r="M38" s="1338" t="str">
        <f>PROPOSITION!M36</f>
        <v xml:space="preserve"> </v>
      </c>
      <c r="N38" s="1339"/>
      <c r="O38" s="1340"/>
      <c r="P38" s="1317">
        <f t="shared" si="5"/>
        <v>1.0000000000000001E-9</v>
      </c>
      <c r="Q38" s="1318"/>
      <c r="R38" s="1319">
        <f t="shared" si="20"/>
        <v>1E-13</v>
      </c>
      <c r="S38" s="1320"/>
      <c r="T38" s="13">
        <f t="shared" si="6"/>
        <v>0</v>
      </c>
      <c r="U38" s="127">
        <f>EQUIPEMENTS!Z39</f>
        <v>4.9999999999999982E-2</v>
      </c>
      <c r="V38" s="13"/>
      <c r="W38" s="15"/>
      <c r="X38" s="35">
        <f t="shared" si="0"/>
        <v>7.4999999999999969E-2</v>
      </c>
      <c r="Y38" s="128">
        <f t="shared" si="7"/>
        <v>7.4999999999999961E-17</v>
      </c>
      <c r="Z38" s="129">
        <f t="shared" si="1"/>
        <v>7.4999999999999969E-2</v>
      </c>
      <c r="AA38" s="130">
        <f>'DBD app hide'!AA36</f>
        <v>5000</v>
      </c>
      <c r="AB38" s="141">
        <f t="shared" si="2"/>
        <v>7.4999999999999961E-17</v>
      </c>
      <c r="AC38" s="141">
        <f>MAX(((PROPOSITION!P36)),0.0000000001)</f>
        <v>1.0000000000000001E-9</v>
      </c>
      <c r="AD38" s="135">
        <f>MAX('DBD app hide'!T36,0.0000000000001)</f>
        <v>1E-13</v>
      </c>
      <c r="AE38" s="144" t="e">
        <f>#REF!</f>
        <v>#REF!</v>
      </c>
      <c r="AG38" s="135">
        <f t="shared" si="21"/>
        <v>0</v>
      </c>
      <c r="AH38" s="135">
        <f t="shared" si="8"/>
        <v>0</v>
      </c>
      <c r="AJ38" s="135">
        <f t="shared" si="9"/>
        <v>1</v>
      </c>
      <c r="AK38" s="135">
        <f t="shared" si="3"/>
        <v>0</v>
      </c>
      <c r="AL38" s="135">
        <f t="shared" si="10"/>
        <v>1</v>
      </c>
      <c r="AT38" s="135">
        <f t="shared" si="11"/>
        <v>0</v>
      </c>
      <c r="AX38" s="131">
        <f t="shared" si="12"/>
        <v>5</v>
      </c>
      <c r="AY38" s="131">
        <f t="shared" si="13"/>
        <v>5</v>
      </c>
      <c r="AZ38" s="131">
        <f t="shared" si="14"/>
        <v>10</v>
      </c>
      <c r="BC38" s="133">
        <f>[5]APPLICATION!AA36</f>
        <v>5000</v>
      </c>
      <c r="BD38" s="131">
        <f t="shared" si="15"/>
        <v>2</v>
      </c>
      <c r="BE38" s="131">
        <f t="shared" si="4"/>
        <v>0</v>
      </c>
      <c r="BF38" s="131">
        <f t="shared" si="16"/>
        <v>2</v>
      </c>
      <c r="BH38" s="131">
        <f t="shared" si="17"/>
        <v>0</v>
      </c>
      <c r="BI38" s="131">
        <f t="shared" si="18"/>
        <v>0</v>
      </c>
      <c r="BJ38" s="131">
        <f t="shared" si="19"/>
        <v>0</v>
      </c>
    </row>
    <row r="39" spans="2:99" ht="15.75" customHeight="1">
      <c r="B39" s="14">
        <v>17</v>
      </c>
      <c r="C39" s="194">
        <f>PROPOSITION!C37</f>
        <v>0</v>
      </c>
      <c r="D39" s="1329" t="str">
        <f>PROPOSITION!D37</f>
        <v xml:space="preserve"> </v>
      </c>
      <c r="E39" s="1330"/>
      <c r="F39" s="1331"/>
      <c r="G39" s="1332" t="str">
        <f>PROPOSITION!G37</f>
        <v xml:space="preserve"> </v>
      </c>
      <c r="H39" s="1333"/>
      <c r="I39" s="1334"/>
      <c r="J39" s="1335" t="str">
        <f>PROPOSITION!J37</f>
        <v xml:space="preserve"> </v>
      </c>
      <c r="K39" s="1336"/>
      <c r="L39" s="1337"/>
      <c r="M39" s="1338" t="str">
        <f>PROPOSITION!M37</f>
        <v xml:space="preserve"> </v>
      </c>
      <c r="N39" s="1339"/>
      <c r="O39" s="1340"/>
      <c r="P39" s="1317">
        <f t="shared" si="5"/>
        <v>1.0000000000000001E-9</v>
      </c>
      <c r="Q39" s="1318"/>
      <c r="R39" s="1319">
        <f t="shared" si="20"/>
        <v>1E-13</v>
      </c>
      <c r="S39" s="1320"/>
      <c r="T39" s="13">
        <f t="shared" si="6"/>
        <v>0</v>
      </c>
      <c r="U39" s="127">
        <f>EQUIPEMENTS!Z40</f>
        <v>4.9999999999999982E-2</v>
      </c>
      <c r="V39" s="13"/>
      <c r="W39" s="15"/>
      <c r="X39" s="35">
        <f t="shared" si="0"/>
        <v>7.4999999999999969E-2</v>
      </c>
      <c r="Y39" s="128">
        <f t="shared" si="7"/>
        <v>7.4999999999999961E-17</v>
      </c>
      <c r="Z39" s="129">
        <f t="shared" si="1"/>
        <v>7.4999999999999969E-2</v>
      </c>
      <c r="AA39" s="130">
        <f>'DBD app hide'!AA37</f>
        <v>5000</v>
      </c>
      <c r="AB39" s="141">
        <f t="shared" si="2"/>
        <v>7.4999999999999961E-17</v>
      </c>
      <c r="AC39" s="141">
        <f>MAX(((PROPOSITION!P37)),0.0000000001)</f>
        <v>1.0000000000000001E-9</v>
      </c>
      <c r="AD39" s="135">
        <f>MAX('DBD app hide'!T37,0.0000000000001)</f>
        <v>1E-13</v>
      </c>
      <c r="AE39" s="145">
        <f>J49</f>
        <v>0.05</v>
      </c>
      <c r="AG39" s="135">
        <f t="shared" si="21"/>
        <v>0</v>
      </c>
      <c r="AH39" s="135">
        <f t="shared" si="8"/>
        <v>0</v>
      </c>
      <c r="AJ39" s="135">
        <f t="shared" si="9"/>
        <v>1</v>
      </c>
      <c r="AK39" s="135">
        <f t="shared" si="3"/>
        <v>0</v>
      </c>
      <c r="AL39" s="135">
        <f t="shared" si="10"/>
        <v>1</v>
      </c>
      <c r="AT39" s="135">
        <f t="shared" si="11"/>
        <v>0</v>
      </c>
      <c r="AX39" s="131">
        <f t="shared" si="12"/>
        <v>5</v>
      </c>
      <c r="AY39" s="131">
        <f t="shared" si="13"/>
        <v>5</v>
      </c>
      <c r="AZ39" s="131">
        <f t="shared" si="14"/>
        <v>10</v>
      </c>
      <c r="BC39" s="133">
        <f>[5]APPLICATION!AA37</f>
        <v>5000</v>
      </c>
      <c r="BD39" s="131">
        <f t="shared" si="15"/>
        <v>2</v>
      </c>
      <c r="BE39" s="131">
        <f t="shared" si="4"/>
        <v>0</v>
      </c>
      <c r="BF39" s="131">
        <f t="shared" si="16"/>
        <v>2</v>
      </c>
      <c r="BH39" s="131">
        <f t="shared" si="17"/>
        <v>0</v>
      </c>
      <c r="BI39" s="131">
        <f t="shared" si="18"/>
        <v>0</v>
      </c>
      <c r="BJ39" s="131">
        <f t="shared" si="19"/>
        <v>0</v>
      </c>
    </row>
    <row r="40" spans="2:99" ht="15.75" customHeight="1">
      <c r="B40" s="14">
        <v>18</v>
      </c>
      <c r="C40" s="194">
        <f>PROPOSITION!C38</f>
        <v>0</v>
      </c>
      <c r="D40" s="1329" t="str">
        <f>PROPOSITION!D38</f>
        <v xml:space="preserve"> </v>
      </c>
      <c r="E40" s="1330"/>
      <c r="F40" s="1331"/>
      <c r="G40" s="1332" t="str">
        <f>PROPOSITION!G38</f>
        <v xml:space="preserve"> </v>
      </c>
      <c r="H40" s="1333"/>
      <c r="I40" s="1334"/>
      <c r="J40" s="1335" t="str">
        <f>PROPOSITION!J38</f>
        <v xml:space="preserve"> </v>
      </c>
      <c r="K40" s="1336"/>
      <c r="L40" s="1337"/>
      <c r="M40" s="1338" t="str">
        <f>PROPOSITION!M38</f>
        <v xml:space="preserve"> </v>
      </c>
      <c r="N40" s="1339"/>
      <c r="O40" s="1340"/>
      <c r="P40" s="1317">
        <f t="shared" si="5"/>
        <v>1.0000000000000001E-9</v>
      </c>
      <c r="Q40" s="1318"/>
      <c r="R40" s="1319">
        <f t="shared" si="20"/>
        <v>1E-13</v>
      </c>
      <c r="S40" s="1320"/>
      <c r="T40" s="13">
        <f t="shared" si="6"/>
        <v>0</v>
      </c>
      <c r="U40" s="127">
        <f>EQUIPEMENTS!Z41</f>
        <v>4.9999999999999982E-2</v>
      </c>
      <c r="V40" s="13"/>
      <c r="W40" s="15"/>
      <c r="X40" s="35">
        <f t="shared" si="0"/>
        <v>7.4999999999999969E-2</v>
      </c>
      <c r="Y40" s="128">
        <f t="shared" si="7"/>
        <v>7.4999999999999961E-17</v>
      </c>
      <c r="Z40" s="129">
        <f t="shared" si="1"/>
        <v>7.4999999999999969E-2</v>
      </c>
      <c r="AA40" s="130">
        <f>'DBD app hide'!AA38</f>
        <v>5000</v>
      </c>
      <c r="AB40" s="141">
        <f t="shared" si="2"/>
        <v>7.4999999999999961E-17</v>
      </c>
      <c r="AC40" s="141">
        <f>MAX(((PROPOSITION!P38)),0.0000000001)</f>
        <v>1.0000000000000001E-9</v>
      </c>
      <c r="AD40" s="135">
        <f>MAX('DBD app hide'!T38,0.0000000000001)</f>
        <v>1E-13</v>
      </c>
      <c r="AE40" s="142" t="str">
        <f>N13</f>
        <v>Aucune</v>
      </c>
      <c r="AG40" s="135">
        <f t="shared" si="21"/>
        <v>0</v>
      </c>
      <c r="AH40" s="135">
        <f t="shared" si="8"/>
        <v>0</v>
      </c>
      <c r="AJ40" s="135">
        <f t="shared" si="9"/>
        <v>1</v>
      </c>
      <c r="AK40" s="135">
        <f t="shared" si="3"/>
        <v>0</v>
      </c>
      <c r="AL40" s="135">
        <f t="shared" si="10"/>
        <v>1</v>
      </c>
      <c r="AT40" s="135">
        <f t="shared" si="11"/>
        <v>0</v>
      </c>
      <c r="AX40" s="131">
        <f t="shared" si="12"/>
        <v>5</v>
      </c>
      <c r="AY40" s="131">
        <f t="shared" si="13"/>
        <v>5</v>
      </c>
      <c r="AZ40" s="131">
        <f t="shared" si="14"/>
        <v>10</v>
      </c>
      <c r="BC40" s="133">
        <f>[5]APPLICATION!AA38</f>
        <v>5000</v>
      </c>
      <c r="BD40" s="131">
        <f t="shared" si="15"/>
        <v>2</v>
      </c>
      <c r="BE40" s="131">
        <f t="shared" si="4"/>
        <v>0</v>
      </c>
      <c r="BF40" s="131">
        <f t="shared" si="16"/>
        <v>2</v>
      </c>
      <c r="BH40" s="131">
        <f t="shared" si="17"/>
        <v>0</v>
      </c>
      <c r="BI40" s="131">
        <f t="shared" si="18"/>
        <v>0</v>
      </c>
      <c r="BJ40" s="131">
        <f t="shared" si="19"/>
        <v>0</v>
      </c>
    </row>
    <row r="41" spans="2:99" ht="15.75" customHeight="1">
      <c r="B41" s="14">
        <v>19</v>
      </c>
      <c r="C41" s="194">
        <f>PROPOSITION!C39</f>
        <v>0</v>
      </c>
      <c r="D41" s="1329" t="str">
        <f>PROPOSITION!D39</f>
        <v xml:space="preserve"> </v>
      </c>
      <c r="E41" s="1330"/>
      <c r="F41" s="1331"/>
      <c r="G41" s="1332" t="str">
        <f>PROPOSITION!G39</f>
        <v xml:space="preserve"> </v>
      </c>
      <c r="H41" s="1333"/>
      <c r="I41" s="1334"/>
      <c r="J41" s="1335" t="str">
        <f>PROPOSITION!J39</f>
        <v xml:space="preserve"> </v>
      </c>
      <c r="K41" s="1336"/>
      <c r="L41" s="1337"/>
      <c r="M41" s="1338" t="str">
        <f>PROPOSITION!M39</f>
        <v xml:space="preserve"> </v>
      </c>
      <c r="N41" s="1339"/>
      <c r="O41" s="1340"/>
      <c r="P41" s="1317">
        <f t="shared" si="5"/>
        <v>1.0000000000000001E-9</v>
      </c>
      <c r="Q41" s="1318"/>
      <c r="R41" s="1319">
        <f t="shared" si="20"/>
        <v>1E-13</v>
      </c>
      <c r="S41" s="1320"/>
      <c r="T41" s="13">
        <f t="shared" si="6"/>
        <v>0</v>
      </c>
      <c r="U41" s="127">
        <f>EQUIPEMENTS!Z42</f>
        <v>4.9999999999999982E-2</v>
      </c>
      <c r="V41" s="13"/>
      <c r="W41" s="15"/>
      <c r="X41" s="35">
        <f t="shared" si="0"/>
        <v>7.4999999999999969E-2</v>
      </c>
      <c r="Y41" s="128">
        <f t="shared" si="7"/>
        <v>7.4999999999999961E-17</v>
      </c>
      <c r="Z41" s="129">
        <f t="shared" si="1"/>
        <v>7.4999999999999969E-2</v>
      </c>
      <c r="AA41" s="130">
        <f>'DBD app hide'!AA39</f>
        <v>5000</v>
      </c>
      <c r="AB41" s="141">
        <f t="shared" si="2"/>
        <v>7.4999999999999961E-17</v>
      </c>
      <c r="AC41" s="141">
        <f>MAX(((PROPOSITION!P39)),0.0000000001)</f>
        <v>1.0000000000000001E-9</v>
      </c>
      <c r="AD41" s="135">
        <f>MAX('DBD app hide'!T39,0.0000000000001)</f>
        <v>1E-13</v>
      </c>
      <c r="AE41" s="146" t="e">
        <f>#REF!</f>
        <v>#REF!</v>
      </c>
      <c r="AG41" s="135">
        <f t="shared" si="21"/>
        <v>0</v>
      </c>
      <c r="AH41" s="135">
        <f t="shared" si="8"/>
        <v>0</v>
      </c>
      <c r="AJ41" s="135">
        <f t="shared" si="9"/>
        <v>1</v>
      </c>
      <c r="AK41" s="135">
        <f t="shared" si="3"/>
        <v>0</v>
      </c>
      <c r="AL41" s="135">
        <f t="shared" si="10"/>
        <v>1</v>
      </c>
      <c r="AT41" s="135">
        <f t="shared" si="11"/>
        <v>0</v>
      </c>
      <c r="AX41" s="131">
        <f t="shared" si="12"/>
        <v>5</v>
      </c>
      <c r="AY41" s="131">
        <f t="shared" si="13"/>
        <v>5</v>
      </c>
      <c r="AZ41" s="131">
        <f t="shared" si="14"/>
        <v>10</v>
      </c>
      <c r="BC41" s="133">
        <f>[5]APPLICATION!AA39</f>
        <v>5000</v>
      </c>
      <c r="BD41" s="131">
        <f t="shared" si="15"/>
        <v>2</v>
      </c>
      <c r="BE41" s="131">
        <f t="shared" si="4"/>
        <v>0</v>
      </c>
      <c r="BF41" s="131">
        <f t="shared" si="16"/>
        <v>2</v>
      </c>
      <c r="BH41" s="131">
        <f t="shared" si="17"/>
        <v>0</v>
      </c>
      <c r="BI41" s="131">
        <f t="shared" si="18"/>
        <v>0</v>
      </c>
      <c r="BJ41" s="131">
        <f t="shared" si="19"/>
        <v>0</v>
      </c>
    </row>
    <row r="42" spans="2:99" ht="15.75" customHeight="1">
      <c r="B42" s="14">
        <v>20</v>
      </c>
      <c r="C42" s="194">
        <f>PROPOSITION!C40</f>
        <v>0</v>
      </c>
      <c r="D42" s="1329" t="str">
        <f>PROPOSITION!D40</f>
        <v xml:space="preserve"> </v>
      </c>
      <c r="E42" s="1330"/>
      <c r="F42" s="1331"/>
      <c r="G42" s="1332" t="str">
        <f>PROPOSITION!G40</f>
        <v xml:space="preserve"> </v>
      </c>
      <c r="H42" s="1333"/>
      <c r="I42" s="1334"/>
      <c r="J42" s="1335" t="str">
        <f>PROPOSITION!J40</f>
        <v xml:space="preserve"> </v>
      </c>
      <c r="K42" s="1336"/>
      <c r="L42" s="1337"/>
      <c r="M42" s="1338" t="str">
        <f>PROPOSITION!M40</f>
        <v xml:space="preserve"> </v>
      </c>
      <c r="N42" s="1339"/>
      <c r="O42" s="1340"/>
      <c r="P42" s="1317">
        <f t="shared" si="5"/>
        <v>1.0000000000000001E-9</v>
      </c>
      <c r="Q42" s="1318"/>
      <c r="R42" s="1319">
        <f t="shared" si="20"/>
        <v>1E-13</v>
      </c>
      <c r="S42" s="1320"/>
      <c r="T42" s="13">
        <f t="shared" si="6"/>
        <v>0</v>
      </c>
      <c r="U42" s="127">
        <f>EQUIPEMENTS!Z43</f>
        <v>4.9999999999999982E-2</v>
      </c>
      <c r="V42" s="13"/>
      <c r="W42" s="15"/>
      <c r="X42" s="35">
        <f t="shared" si="0"/>
        <v>7.4999999999999969E-2</v>
      </c>
      <c r="Y42" s="128">
        <f t="shared" si="7"/>
        <v>7.4999999999999961E-17</v>
      </c>
      <c r="Z42" s="129">
        <f t="shared" si="1"/>
        <v>7.4999999999999969E-2</v>
      </c>
      <c r="AA42" s="130">
        <f>'DBD app hide'!AA40</f>
        <v>5000</v>
      </c>
      <c r="AB42" s="141">
        <f t="shared" si="2"/>
        <v>7.4999999999999961E-17</v>
      </c>
      <c r="AC42" s="141">
        <f>MAX(((PROPOSITION!P40)),0.0000000001)</f>
        <v>1.0000000000000001E-9</v>
      </c>
      <c r="AD42" s="135">
        <f>MAX('DBD app hide'!T40,0.0000000000001)</f>
        <v>1E-13</v>
      </c>
      <c r="AE42" s="136">
        <f>Z17</f>
        <v>0</v>
      </c>
      <c r="AG42" s="135">
        <f t="shared" si="21"/>
        <v>0</v>
      </c>
      <c r="AH42" s="135">
        <f t="shared" si="8"/>
        <v>0</v>
      </c>
      <c r="AJ42" s="135">
        <f t="shared" si="9"/>
        <v>1</v>
      </c>
      <c r="AK42" s="135">
        <f t="shared" si="3"/>
        <v>0</v>
      </c>
      <c r="AL42" s="135">
        <f t="shared" si="10"/>
        <v>1</v>
      </c>
      <c r="AT42" s="135">
        <f t="shared" si="11"/>
        <v>0</v>
      </c>
      <c r="AX42" s="131">
        <f t="shared" si="12"/>
        <v>5</v>
      </c>
      <c r="AY42" s="131">
        <f t="shared" si="13"/>
        <v>5</v>
      </c>
      <c r="AZ42" s="131">
        <f t="shared" si="14"/>
        <v>10</v>
      </c>
      <c r="BC42" s="133">
        <f>[5]APPLICATION!AA40</f>
        <v>5000</v>
      </c>
      <c r="BD42" s="131">
        <f t="shared" si="15"/>
        <v>2</v>
      </c>
      <c r="BE42" s="131">
        <f t="shared" si="4"/>
        <v>0</v>
      </c>
      <c r="BF42" s="131">
        <f t="shared" si="16"/>
        <v>2</v>
      </c>
      <c r="BH42" s="131">
        <f t="shared" si="17"/>
        <v>0</v>
      </c>
      <c r="BI42" s="131">
        <f t="shared" si="18"/>
        <v>0</v>
      </c>
      <c r="BJ42" s="131">
        <f t="shared" si="19"/>
        <v>0</v>
      </c>
    </row>
    <row r="43" spans="2:99" ht="15.75" customHeight="1">
      <c r="B43" s="14">
        <v>21</v>
      </c>
      <c r="C43" s="194">
        <f>PROPOSITION!C41</f>
        <v>0</v>
      </c>
      <c r="D43" s="1329" t="str">
        <f>PROPOSITION!D41</f>
        <v xml:space="preserve"> </v>
      </c>
      <c r="E43" s="1330"/>
      <c r="F43" s="1331"/>
      <c r="G43" s="1332" t="str">
        <f>PROPOSITION!G41</f>
        <v xml:space="preserve"> </v>
      </c>
      <c r="H43" s="1333"/>
      <c r="I43" s="1334"/>
      <c r="J43" s="1335" t="str">
        <f>PROPOSITION!J41</f>
        <v xml:space="preserve"> </v>
      </c>
      <c r="K43" s="1336"/>
      <c r="L43" s="1337"/>
      <c r="M43" s="1338" t="str">
        <f>PROPOSITION!M41</f>
        <v xml:space="preserve"> </v>
      </c>
      <c r="N43" s="1339"/>
      <c r="O43" s="1340"/>
      <c r="P43" s="1317">
        <f t="shared" si="5"/>
        <v>1.0000000000000001E-9</v>
      </c>
      <c r="Q43" s="1318"/>
      <c r="R43" s="1319">
        <f t="shared" si="20"/>
        <v>1E-13</v>
      </c>
      <c r="S43" s="1320"/>
      <c r="T43" s="13">
        <f t="shared" si="6"/>
        <v>0</v>
      </c>
      <c r="U43" s="127">
        <f>EQUIPEMENTS!Z44</f>
        <v>4.9999999999999982E-2</v>
      </c>
      <c r="V43" s="13"/>
      <c r="W43" s="15"/>
      <c r="X43" s="35">
        <f t="shared" si="0"/>
        <v>7.4999999999999969E-2</v>
      </c>
      <c r="Y43" s="128">
        <f t="shared" si="7"/>
        <v>7.4999999999999961E-17</v>
      </c>
      <c r="Z43" s="129">
        <f t="shared" si="1"/>
        <v>7.4999999999999969E-2</v>
      </c>
      <c r="AA43" s="130">
        <f>'DBD app hide'!AA41</f>
        <v>5000</v>
      </c>
      <c r="AB43" s="141">
        <f t="shared" si="2"/>
        <v>7.4999999999999961E-17</v>
      </c>
      <c r="AC43" s="141">
        <f>MAX(((PROPOSITION!P41)),0.0000000001)</f>
        <v>1.0000000000000001E-9</v>
      </c>
      <c r="AD43" s="135">
        <f>MAX('DBD app hide'!T41,0.0000000000001)</f>
        <v>1E-13</v>
      </c>
      <c r="AG43" s="135">
        <f t="shared" si="21"/>
        <v>0</v>
      </c>
      <c r="AH43" s="135">
        <f t="shared" si="8"/>
        <v>0</v>
      </c>
      <c r="AJ43" s="135">
        <f t="shared" si="9"/>
        <v>1</v>
      </c>
      <c r="AK43" s="135">
        <f t="shared" si="3"/>
        <v>0</v>
      </c>
      <c r="AL43" s="135">
        <f t="shared" si="10"/>
        <v>1</v>
      </c>
      <c r="AT43" s="135">
        <f t="shared" si="11"/>
        <v>0</v>
      </c>
      <c r="AX43" s="131">
        <f t="shared" si="12"/>
        <v>5</v>
      </c>
      <c r="AY43" s="131">
        <f t="shared" si="13"/>
        <v>5</v>
      </c>
      <c r="AZ43" s="131">
        <f t="shared" si="14"/>
        <v>10</v>
      </c>
      <c r="BC43" s="133">
        <f>[5]APPLICATION!AA41</f>
        <v>5000</v>
      </c>
      <c r="BD43" s="131">
        <f t="shared" si="15"/>
        <v>2</v>
      </c>
      <c r="BE43" s="131">
        <f t="shared" si="4"/>
        <v>0</v>
      </c>
      <c r="BF43" s="131">
        <f t="shared" si="16"/>
        <v>2</v>
      </c>
      <c r="BH43" s="131">
        <f t="shared" si="17"/>
        <v>0</v>
      </c>
      <c r="BI43" s="131">
        <f t="shared" si="18"/>
        <v>0</v>
      </c>
      <c r="BJ43" s="131">
        <f t="shared" si="19"/>
        <v>0</v>
      </c>
    </row>
    <row r="44" spans="2:99" ht="15.75" customHeight="1">
      <c r="B44" s="14">
        <v>22</v>
      </c>
      <c r="C44" s="194">
        <f>PROPOSITION!C42</f>
        <v>0</v>
      </c>
      <c r="D44" s="1329" t="str">
        <f>PROPOSITION!D42</f>
        <v xml:space="preserve"> </v>
      </c>
      <c r="E44" s="1330"/>
      <c r="F44" s="1331"/>
      <c r="G44" s="1332" t="str">
        <f>PROPOSITION!G42</f>
        <v xml:space="preserve"> </v>
      </c>
      <c r="H44" s="1333"/>
      <c r="I44" s="1334"/>
      <c r="J44" s="1335" t="str">
        <f>PROPOSITION!J42</f>
        <v xml:space="preserve"> </v>
      </c>
      <c r="K44" s="1336"/>
      <c r="L44" s="1337"/>
      <c r="M44" s="1338" t="str">
        <f>PROPOSITION!M42</f>
        <v xml:space="preserve"> </v>
      </c>
      <c r="N44" s="1339"/>
      <c r="O44" s="1340"/>
      <c r="P44" s="1317">
        <f t="shared" si="5"/>
        <v>1.0000000000000001E-9</v>
      </c>
      <c r="Q44" s="1318"/>
      <c r="R44" s="1319">
        <f t="shared" si="20"/>
        <v>1E-13</v>
      </c>
      <c r="S44" s="1320"/>
      <c r="T44" s="13">
        <f t="shared" si="6"/>
        <v>0</v>
      </c>
      <c r="U44" s="127">
        <f>EQUIPEMENTS!Z45</f>
        <v>4.9999999999999982E-2</v>
      </c>
      <c r="V44" s="13"/>
      <c r="W44" s="15"/>
      <c r="X44" s="35">
        <f t="shared" si="0"/>
        <v>7.4999999999999969E-2</v>
      </c>
      <c r="Y44" s="128">
        <f t="shared" si="7"/>
        <v>7.4999999999999961E-17</v>
      </c>
      <c r="Z44" s="129">
        <f t="shared" si="1"/>
        <v>7.4999999999999969E-2</v>
      </c>
      <c r="AA44" s="130">
        <f>'DBD app hide'!AA42</f>
        <v>5000</v>
      </c>
      <c r="AB44" s="141">
        <f t="shared" si="2"/>
        <v>7.4999999999999961E-17</v>
      </c>
      <c r="AC44" s="141">
        <f>MAX(((PROPOSITION!P42)),0.0000000001)</f>
        <v>1.0000000000000001E-9</v>
      </c>
      <c r="AD44" s="135">
        <f>MAX('DBD app hide'!T42,0.0000000000001)</f>
        <v>1E-13</v>
      </c>
      <c r="AG44" s="135">
        <f t="shared" si="21"/>
        <v>0</v>
      </c>
      <c r="AH44" s="135">
        <f t="shared" si="8"/>
        <v>0</v>
      </c>
      <c r="AJ44" s="135">
        <f t="shared" si="9"/>
        <v>1</v>
      </c>
      <c r="AK44" s="135">
        <f t="shared" si="3"/>
        <v>0</v>
      </c>
      <c r="AL44" s="135">
        <f t="shared" si="10"/>
        <v>1</v>
      </c>
      <c r="AT44" s="135">
        <f t="shared" si="11"/>
        <v>0</v>
      </c>
      <c r="AX44" s="131">
        <f t="shared" si="12"/>
        <v>5</v>
      </c>
      <c r="AY44" s="131">
        <f t="shared" si="13"/>
        <v>5</v>
      </c>
      <c r="AZ44" s="131">
        <f t="shared" si="14"/>
        <v>10</v>
      </c>
      <c r="BC44" s="133">
        <f>[5]APPLICATION!AA42</f>
        <v>5000</v>
      </c>
      <c r="BD44" s="131">
        <f t="shared" si="15"/>
        <v>2</v>
      </c>
      <c r="BE44" s="131">
        <f t="shared" si="4"/>
        <v>0</v>
      </c>
      <c r="BF44" s="131">
        <f t="shared" si="16"/>
        <v>2</v>
      </c>
      <c r="BH44" s="131">
        <f t="shared" si="17"/>
        <v>0</v>
      </c>
      <c r="BI44" s="131">
        <f t="shared" si="18"/>
        <v>0</v>
      </c>
      <c r="BJ44" s="131">
        <f t="shared" si="19"/>
        <v>0</v>
      </c>
    </row>
    <row r="45" spans="2:99" ht="15.75" customHeight="1">
      <c r="B45" s="14">
        <v>23</v>
      </c>
      <c r="C45" s="194">
        <f>PROPOSITION!C43</f>
        <v>0</v>
      </c>
      <c r="D45" s="1329" t="str">
        <f>PROPOSITION!D43</f>
        <v xml:space="preserve"> </v>
      </c>
      <c r="E45" s="1330"/>
      <c r="F45" s="1331"/>
      <c r="G45" s="1332" t="str">
        <f>PROPOSITION!G43</f>
        <v xml:space="preserve"> </v>
      </c>
      <c r="H45" s="1333"/>
      <c r="I45" s="1334"/>
      <c r="J45" s="1335" t="str">
        <f>PROPOSITION!J43</f>
        <v xml:space="preserve"> </v>
      </c>
      <c r="K45" s="1336"/>
      <c r="L45" s="1337"/>
      <c r="M45" s="1338" t="str">
        <f>PROPOSITION!M43</f>
        <v xml:space="preserve"> </v>
      </c>
      <c r="N45" s="1339"/>
      <c r="O45" s="1340"/>
      <c r="P45" s="1317">
        <f t="shared" si="5"/>
        <v>1.0000000000000001E-9</v>
      </c>
      <c r="Q45" s="1318"/>
      <c r="R45" s="1319">
        <f t="shared" si="20"/>
        <v>1E-13</v>
      </c>
      <c r="S45" s="1320"/>
      <c r="T45" s="13">
        <f t="shared" si="6"/>
        <v>0</v>
      </c>
      <c r="U45" s="127">
        <f>EQUIPEMENTS!Z46</f>
        <v>4.9999999999999982E-2</v>
      </c>
      <c r="V45" s="13"/>
      <c r="W45" s="15"/>
      <c r="X45" s="35">
        <f t="shared" si="0"/>
        <v>7.4999999999999969E-2</v>
      </c>
      <c r="Y45" s="128">
        <f t="shared" si="7"/>
        <v>7.4999999999999961E-17</v>
      </c>
      <c r="Z45" s="129">
        <f t="shared" si="1"/>
        <v>7.4999999999999969E-2</v>
      </c>
      <c r="AA45" s="130">
        <f>'DBD app hide'!AA43</f>
        <v>5000</v>
      </c>
      <c r="AB45" s="141">
        <f t="shared" si="2"/>
        <v>7.4999999999999961E-17</v>
      </c>
      <c r="AC45" s="141">
        <f>MAX(((PROPOSITION!P43)),0.0000000001)</f>
        <v>1.0000000000000001E-9</v>
      </c>
      <c r="AD45" s="135">
        <f>MAX('DBD app hide'!T43,0.0000000000001)</f>
        <v>1E-13</v>
      </c>
      <c r="AG45" s="135">
        <f t="shared" si="21"/>
        <v>0</v>
      </c>
      <c r="AH45" s="135">
        <f t="shared" si="8"/>
        <v>0</v>
      </c>
      <c r="AJ45" s="135">
        <f t="shared" si="9"/>
        <v>1</v>
      </c>
      <c r="AK45" s="135">
        <f t="shared" si="3"/>
        <v>0</v>
      </c>
      <c r="AL45" s="135">
        <f t="shared" si="10"/>
        <v>1</v>
      </c>
      <c r="AT45" s="135">
        <f t="shared" si="11"/>
        <v>0</v>
      </c>
      <c r="AX45" s="131">
        <f t="shared" si="12"/>
        <v>5</v>
      </c>
      <c r="AY45" s="131">
        <f t="shared" si="13"/>
        <v>5</v>
      </c>
      <c r="AZ45" s="131">
        <f t="shared" si="14"/>
        <v>10</v>
      </c>
      <c r="BC45" s="133">
        <f>[5]APPLICATION!AA43</f>
        <v>5000</v>
      </c>
      <c r="BD45" s="131">
        <f t="shared" si="15"/>
        <v>2</v>
      </c>
      <c r="BE45" s="131">
        <f t="shared" si="4"/>
        <v>0</v>
      </c>
      <c r="BF45" s="131">
        <f t="shared" si="16"/>
        <v>2</v>
      </c>
      <c r="BH45" s="131">
        <f t="shared" si="17"/>
        <v>0</v>
      </c>
      <c r="BI45" s="131">
        <f t="shared" si="18"/>
        <v>0</v>
      </c>
      <c r="BJ45" s="131">
        <f t="shared" si="19"/>
        <v>0</v>
      </c>
    </row>
    <row r="46" spans="2:99" ht="15.75" customHeight="1">
      <c r="B46" s="14">
        <v>24</v>
      </c>
      <c r="C46" s="194">
        <f>PROPOSITION!C44</f>
        <v>0</v>
      </c>
      <c r="D46" s="1329" t="str">
        <f>PROPOSITION!D44</f>
        <v xml:space="preserve"> </v>
      </c>
      <c r="E46" s="1330"/>
      <c r="F46" s="1331"/>
      <c r="G46" s="1332" t="str">
        <f>PROPOSITION!G44</f>
        <v xml:space="preserve"> </v>
      </c>
      <c r="H46" s="1333"/>
      <c r="I46" s="1334"/>
      <c r="J46" s="1335" t="str">
        <f>PROPOSITION!J44</f>
        <v xml:space="preserve"> </v>
      </c>
      <c r="K46" s="1336"/>
      <c r="L46" s="1337"/>
      <c r="M46" s="1338" t="str">
        <f>PROPOSITION!M44</f>
        <v xml:space="preserve"> </v>
      </c>
      <c r="N46" s="1339"/>
      <c r="O46" s="1340"/>
      <c r="P46" s="1317">
        <f t="shared" si="5"/>
        <v>1.0000000000000001E-9</v>
      </c>
      <c r="Q46" s="1318"/>
      <c r="R46" s="1319">
        <f t="shared" si="20"/>
        <v>1E-13</v>
      </c>
      <c r="S46" s="1320"/>
      <c r="T46" s="13">
        <f t="shared" si="6"/>
        <v>0</v>
      </c>
      <c r="U46" s="127">
        <f>EQUIPEMENTS!Z47</f>
        <v>4.9999999999999982E-2</v>
      </c>
      <c r="V46" s="13"/>
      <c r="W46" s="15"/>
      <c r="X46" s="35">
        <f t="shared" si="0"/>
        <v>7.4999999999999969E-2</v>
      </c>
      <c r="Y46" s="128">
        <f t="shared" si="7"/>
        <v>7.4999999999999961E-17</v>
      </c>
      <c r="Z46" s="129">
        <f t="shared" si="1"/>
        <v>7.4999999999999969E-2</v>
      </c>
      <c r="AA46" s="130">
        <f>'DBD app hide'!AA44</f>
        <v>5000</v>
      </c>
      <c r="AB46" s="141">
        <f t="shared" si="2"/>
        <v>7.4999999999999961E-17</v>
      </c>
      <c r="AC46" s="141">
        <f>MAX(((PROPOSITION!P44)),0.0000000001)</f>
        <v>1.0000000000000001E-9</v>
      </c>
      <c r="AD46" s="135">
        <f>MAX('DBD app hide'!T44,0.0000000000001)</f>
        <v>1E-13</v>
      </c>
      <c r="AG46" s="135">
        <f t="shared" si="21"/>
        <v>0</v>
      </c>
      <c r="AH46" s="135">
        <f t="shared" si="8"/>
        <v>0</v>
      </c>
      <c r="AJ46" s="135">
        <f t="shared" si="9"/>
        <v>1</v>
      </c>
      <c r="AK46" s="135">
        <f t="shared" si="3"/>
        <v>0</v>
      </c>
      <c r="AL46" s="135">
        <f t="shared" si="10"/>
        <v>1</v>
      </c>
      <c r="AT46" s="135">
        <f t="shared" si="11"/>
        <v>0</v>
      </c>
      <c r="AX46" s="131">
        <f t="shared" si="12"/>
        <v>5</v>
      </c>
      <c r="AY46" s="131">
        <f t="shared" si="13"/>
        <v>5</v>
      </c>
      <c r="AZ46" s="131">
        <f t="shared" si="14"/>
        <v>10</v>
      </c>
      <c r="BC46" s="133">
        <f>[5]APPLICATION!AA44</f>
        <v>5000</v>
      </c>
      <c r="BD46" s="131">
        <f t="shared" si="15"/>
        <v>2</v>
      </c>
      <c r="BE46" s="131">
        <f t="shared" si="4"/>
        <v>0</v>
      </c>
      <c r="BF46" s="131">
        <f t="shared" si="16"/>
        <v>2</v>
      </c>
      <c r="BH46" s="131">
        <f t="shared" si="17"/>
        <v>0</v>
      </c>
      <c r="BI46" s="131">
        <f t="shared" si="18"/>
        <v>0</v>
      </c>
      <c r="BJ46" s="131">
        <f t="shared" si="19"/>
        <v>0</v>
      </c>
    </row>
    <row r="47" spans="2:99" ht="15.75" customHeight="1">
      <c r="B47" s="14">
        <v>25</v>
      </c>
      <c r="C47" s="194">
        <f>PROPOSITION!C45</f>
        <v>0</v>
      </c>
      <c r="D47" s="1329" t="str">
        <f>PROPOSITION!D45</f>
        <v xml:space="preserve"> </v>
      </c>
      <c r="E47" s="1330"/>
      <c r="F47" s="1331"/>
      <c r="G47" s="1332" t="str">
        <f>PROPOSITION!G45</f>
        <v xml:space="preserve"> </v>
      </c>
      <c r="H47" s="1333"/>
      <c r="I47" s="1334"/>
      <c r="J47" s="1335" t="str">
        <f>PROPOSITION!J45</f>
        <v xml:space="preserve"> </v>
      </c>
      <c r="K47" s="1336"/>
      <c r="L47" s="1337"/>
      <c r="M47" s="1338" t="str">
        <f>PROPOSITION!M45</f>
        <v xml:space="preserve"> </v>
      </c>
      <c r="N47" s="1339"/>
      <c r="O47" s="1340"/>
      <c r="P47" s="1317">
        <f t="shared" si="5"/>
        <v>1.0000000000000001E-9</v>
      </c>
      <c r="Q47" s="1318"/>
      <c r="R47" s="1319">
        <f>MIN(AD47,75000)</f>
        <v>1E-13</v>
      </c>
      <c r="S47" s="1320"/>
      <c r="T47" s="13">
        <f>IF(AA47="Y",1,0)</f>
        <v>0</v>
      </c>
      <c r="U47" s="127">
        <f>EQUIPEMENTS!Z48</f>
        <v>4.9999999999999982E-2</v>
      </c>
      <c r="V47" s="13"/>
      <c r="W47" s="15"/>
      <c r="X47" s="35">
        <f t="shared" si="0"/>
        <v>7.4999999999999969E-2</v>
      </c>
      <c r="Y47" s="128">
        <f>Z47*R47/100</f>
        <v>7.4999999999999961E-17</v>
      </c>
      <c r="Z47" s="129">
        <f t="shared" si="1"/>
        <v>7.4999999999999969E-2</v>
      </c>
      <c r="AA47" s="130">
        <f>'DBD app hide'!AA45</f>
        <v>5000</v>
      </c>
      <c r="AB47" s="141">
        <f t="shared" si="2"/>
        <v>7.4999999999999961E-17</v>
      </c>
      <c r="AC47" s="141">
        <f>MAX(((PROPOSITION!P45)),0.0000000001)</f>
        <v>1.0000000000000001E-9</v>
      </c>
      <c r="AD47" s="135">
        <f>MAX('DBD app hide'!T45,0.0000000000001)</f>
        <v>1E-13</v>
      </c>
      <c r="AG47" s="135">
        <f t="shared" si="21"/>
        <v>0</v>
      </c>
      <c r="AJ47" s="135">
        <f t="shared" si="9"/>
        <v>1</v>
      </c>
      <c r="AK47" s="135">
        <f t="shared" si="3"/>
        <v>0</v>
      </c>
      <c r="AL47" s="135">
        <f t="shared" si="10"/>
        <v>1</v>
      </c>
      <c r="AT47" s="135">
        <f t="shared" si="11"/>
        <v>0</v>
      </c>
      <c r="AX47" s="131">
        <f t="shared" si="12"/>
        <v>5</v>
      </c>
      <c r="AY47" s="131">
        <f t="shared" si="13"/>
        <v>5</v>
      </c>
      <c r="AZ47" s="131">
        <f t="shared" si="14"/>
        <v>10</v>
      </c>
      <c r="BC47" s="133">
        <f>[5]APPLICATION!AA45</f>
        <v>5000</v>
      </c>
      <c r="BD47" s="131">
        <f t="shared" si="15"/>
        <v>2</v>
      </c>
      <c r="BE47" s="131">
        <f t="shared" si="4"/>
        <v>0</v>
      </c>
      <c r="BF47" s="131">
        <f t="shared" si="16"/>
        <v>2</v>
      </c>
      <c r="BH47" s="131">
        <f t="shared" si="17"/>
        <v>0</v>
      </c>
      <c r="BI47" s="131">
        <f t="shared" si="18"/>
        <v>0</v>
      </c>
      <c r="BJ47" s="131">
        <f t="shared" si="19"/>
        <v>0</v>
      </c>
    </row>
    <row r="48" spans="2:99" s="17" customFormat="1" ht="9" customHeight="1" thickBot="1">
      <c r="B48" s="16"/>
      <c r="D48" s="18"/>
      <c r="E48" s="18"/>
      <c r="F48" s="18"/>
      <c r="G48" s="18"/>
      <c r="H48" s="18"/>
      <c r="I48" s="18"/>
      <c r="J48" s="18"/>
      <c r="K48" s="18"/>
      <c r="L48" s="18"/>
      <c r="M48" s="18"/>
      <c r="N48" s="18"/>
      <c r="O48" s="18"/>
      <c r="P48" s="18"/>
      <c r="Q48" s="18"/>
      <c r="R48" s="18"/>
      <c r="S48" s="18"/>
      <c r="U48" s="18"/>
      <c r="W48" s="18"/>
      <c r="Y48" s="18"/>
      <c r="Z48" s="18"/>
      <c r="AA48" s="135">
        <f>SUM(AA23:AA47)</f>
        <v>125000</v>
      </c>
      <c r="AB48" s="135">
        <f>SUM(AH23:AH46)</f>
        <v>0</v>
      </c>
      <c r="AC48" s="135"/>
      <c r="AD48" s="135"/>
      <c r="AE48" s="136"/>
      <c r="AF48" s="135"/>
      <c r="AG48" s="135">
        <f>SUM(AG23:AG47)</f>
        <v>0</v>
      </c>
      <c r="AH48" s="135"/>
      <c r="AI48" s="135"/>
      <c r="AJ48" s="135"/>
      <c r="AK48" s="135"/>
      <c r="AL48" s="135"/>
      <c r="AM48" s="135"/>
      <c r="AN48" s="135"/>
      <c r="AO48" s="135"/>
      <c r="AP48" s="135"/>
      <c r="AQ48" s="135"/>
      <c r="AR48" s="135"/>
      <c r="AS48" s="135"/>
      <c r="AT48" s="135">
        <f t="shared" si="11"/>
        <v>0</v>
      </c>
      <c r="AU48" s="135"/>
      <c r="AV48" s="135"/>
      <c r="AW48" s="131"/>
      <c r="AX48" s="131"/>
      <c r="AY48" s="131"/>
      <c r="AZ48" s="131"/>
      <c r="BA48" s="131"/>
      <c r="BB48" s="131"/>
      <c r="BC48" s="131"/>
      <c r="BD48" s="131"/>
      <c r="BE48" s="131"/>
      <c r="BF48" s="131"/>
      <c r="BG48" s="131"/>
      <c r="BH48" s="131"/>
      <c r="BI48" s="131">
        <f t="shared" si="18"/>
        <v>0</v>
      </c>
      <c r="BJ48" s="131"/>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row>
    <row r="49" spans="3:100" s="17" customFormat="1" ht="15.75" customHeight="1" thickBot="1">
      <c r="C49" s="1321" t="s">
        <v>207</v>
      </c>
      <c r="D49" s="1321"/>
      <c r="E49" s="1321"/>
      <c r="F49" s="1321"/>
      <c r="G49" s="1321"/>
      <c r="H49" s="1321"/>
      <c r="I49" s="1321"/>
      <c r="J49" s="1322">
        <f>EQUIPEMENTS!J50</f>
        <v>0.05</v>
      </c>
      <c r="K49" s="1323"/>
      <c r="L49" s="1324"/>
      <c r="M49" s="1321" t="s">
        <v>37</v>
      </c>
      <c r="N49" s="1321"/>
      <c r="O49" s="1325"/>
      <c r="P49" s="1326">
        <f>SUM(P23:Q48)</f>
        <v>2.4999999999999996E-8</v>
      </c>
      <c r="Q49" s="1327"/>
      <c r="R49" s="1328" t="s">
        <v>2</v>
      </c>
      <c r="S49" s="1321"/>
      <c r="T49" s="1321"/>
      <c r="U49" s="1321"/>
      <c r="V49" s="1321"/>
      <c r="W49" s="1321"/>
      <c r="Y49" s="1304">
        <f>SUM(Y23:Y47)</f>
        <v>191.24999999999991</v>
      </c>
      <c r="Z49" s="1305"/>
      <c r="AA49" s="158">
        <f>J49*AF33/100*(Y50+5000)</f>
        <v>0</v>
      </c>
      <c r="AB49" s="135"/>
      <c r="AC49" s="135"/>
      <c r="AD49" s="135"/>
      <c r="AE49" s="136"/>
      <c r="AF49" s="135"/>
      <c r="AG49" s="135"/>
      <c r="AH49" s="135"/>
      <c r="AI49" s="135"/>
      <c r="AJ49" s="135"/>
      <c r="AK49" s="135"/>
      <c r="AL49" s="135"/>
      <c r="AM49" s="135"/>
      <c r="AN49" s="135"/>
      <c r="AO49" s="135"/>
      <c r="AP49" s="135"/>
      <c r="AQ49" s="135"/>
      <c r="AR49" s="135"/>
      <c r="AS49" s="135"/>
      <c r="AT49" s="135"/>
      <c r="AU49" s="135"/>
      <c r="AV49" s="135"/>
      <c r="AW49" s="131"/>
      <c r="AX49" s="131"/>
      <c r="AY49" s="131"/>
      <c r="AZ49" s="131"/>
      <c r="BA49" s="131"/>
      <c r="BB49" s="131"/>
      <c r="BC49" s="131"/>
      <c r="BD49" s="131"/>
      <c r="BE49" s="131"/>
      <c r="BF49" s="131"/>
      <c r="BG49" s="131"/>
      <c r="BH49" s="131"/>
      <c r="BI49" s="131"/>
      <c r="BJ49" s="131"/>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row>
    <row r="50" spans="3:100" ht="13.5" thickBot="1">
      <c r="Y50" s="1306">
        <f>J51-5000</f>
        <v>-5000</v>
      </c>
      <c r="Z50" s="1307"/>
      <c r="AA50" s="1314">
        <f>MAX(Z143,AA49)</f>
        <v>0</v>
      </c>
      <c r="AT50" s="135">
        <f>SUM(AT23:AT49)</f>
        <v>0</v>
      </c>
    </row>
    <row r="51" spans="3:100" ht="13.5" customHeight="1" thickBot="1">
      <c r="I51" s="9" t="s">
        <v>248</v>
      </c>
      <c r="J51" s="1310">
        <f>EQUIPEMENTS!U15</f>
        <v>0</v>
      </c>
      <c r="K51" s="1311"/>
      <c r="L51" s="1312"/>
      <c r="R51" s="186">
        <f>SUM(R23:S47)</f>
        <v>225000</v>
      </c>
      <c r="S51" s="1316" t="s">
        <v>208</v>
      </c>
      <c r="T51" s="1316"/>
      <c r="U51" s="1316"/>
      <c r="V51" s="1316"/>
      <c r="W51" s="1316"/>
      <c r="Y51" s="1308"/>
      <c r="Z51" s="1309"/>
      <c r="AA51" s="1315"/>
      <c r="AB51" s="135" t="s">
        <v>209</v>
      </c>
    </row>
    <row r="52" spans="3:100" s="20" customFormat="1" ht="13.5" thickBot="1">
      <c r="AB52" s="135"/>
      <c r="AC52" s="135"/>
      <c r="AD52" s="135"/>
      <c r="AE52" s="136"/>
      <c r="AF52" s="135"/>
      <c r="AG52" s="135"/>
      <c r="AH52" s="135"/>
      <c r="AI52" s="135"/>
      <c r="AJ52" s="135"/>
      <c r="AK52" s="135"/>
      <c r="AL52" s="135"/>
      <c r="AM52" s="135"/>
      <c r="AN52" s="135"/>
      <c r="AO52" s="135"/>
      <c r="AP52" s="135"/>
      <c r="AQ52" s="135"/>
      <c r="AR52" s="135"/>
      <c r="AS52" s="135"/>
      <c r="AT52" s="135"/>
      <c r="AU52" s="135"/>
      <c r="AV52" s="135"/>
      <c r="AW52" s="131"/>
      <c r="AX52" s="131"/>
      <c r="AY52" s="131"/>
      <c r="AZ52" s="131"/>
      <c r="BA52" s="131"/>
      <c r="BB52" s="131"/>
      <c r="BC52" s="131"/>
      <c r="BD52" s="131"/>
      <c r="BE52" s="131"/>
      <c r="BF52" s="131"/>
      <c r="BG52" s="131"/>
      <c r="BH52" s="131"/>
      <c r="BI52" s="131"/>
      <c r="BJ52" s="131"/>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7"/>
    </row>
    <row r="53" spans="3:100" hidden="1"/>
    <row r="54" spans="3:100" hidden="1"/>
    <row r="55" spans="3:100" hidden="1"/>
    <row r="56" spans="3:100" hidden="1"/>
    <row r="57" spans="3:100" hidden="1"/>
    <row r="58" spans="3:100" hidden="1"/>
    <row r="59" spans="3:100" hidden="1"/>
    <row r="60" spans="3:100" hidden="1"/>
    <row r="61" spans="3:100" hidden="1"/>
    <row r="62" spans="3:100" hidden="1"/>
    <row r="63" spans="3:100" hidden="1"/>
    <row r="64" spans="3:100" hidden="1"/>
    <row r="65" hidden="1"/>
    <row r="66" hidden="1"/>
    <row r="67" hidden="1"/>
    <row r="68" hidden="1"/>
    <row r="69" hidden="1"/>
    <row r="70" hidden="1"/>
    <row r="71" hidden="1"/>
    <row r="72" hidden="1"/>
    <row r="73" hidden="1"/>
    <row r="74" hidden="1"/>
    <row r="75" hidden="1"/>
    <row r="76" hidden="1"/>
    <row r="77" hidden="1"/>
    <row r="78" hidden="1"/>
    <row r="79" hidden="1"/>
    <row r="80" hidden="1"/>
    <row r="81" spans="2:100" hidden="1"/>
    <row r="82" spans="2:100" hidden="1"/>
    <row r="83" spans="2:100" hidden="1"/>
    <row r="84" spans="2:100" hidden="1"/>
    <row r="85" spans="2:100" hidden="1"/>
    <row r="86" spans="2:100" hidden="1"/>
    <row r="87" spans="2:100" hidden="1"/>
    <row r="88" spans="2:100" s="20" customFormat="1" ht="17.25" customHeight="1" thickBot="1">
      <c r="D88" s="20">
        <f>SUM(D148:D172)</f>
        <v>0</v>
      </c>
      <c r="AB88" s="149">
        <f>SUM(AB148:AB172)</f>
        <v>0</v>
      </c>
      <c r="AC88" s="149"/>
      <c r="AD88" s="135"/>
      <c r="AE88" s="136"/>
      <c r="AF88" s="135"/>
      <c r="AG88" s="135"/>
      <c r="AH88" s="135"/>
      <c r="AI88" s="135"/>
      <c r="AJ88" s="135"/>
      <c r="AK88" s="135"/>
      <c r="AL88" s="135"/>
      <c r="AM88" s="135"/>
      <c r="AN88" s="135"/>
      <c r="AO88" s="135"/>
      <c r="AP88" s="135"/>
      <c r="AQ88" s="135"/>
      <c r="AR88" s="135"/>
      <c r="AS88" s="135"/>
      <c r="AT88" s="135"/>
      <c r="AU88" s="135"/>
      <c r="AV88" s="135"/>
      <c r="AW88" s="131"/>
      <c r="AX88" s="131"/>
      <c r="AY88" s="131"/>
      <c r="AZ88" s="131"/>
      <c r="BA88" s="131"/>
      <c r="BB88" s="131"/>
      <c r="BC88" s="131"/>
      <c r="BD88" s="131"/>
      <c r="BE88" s="131"/>
      <c r="BF88" s="131"/>
      <c r="BG88" s="131"/>
      <c r="BH88" s="131"/>
      <c r="BI88" s="131"/>
      <c r="BJ88" s="131"/>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7"/>
    </row>
    <row r="89" spans="2:100" hidden="1"/>
    <row r="90" spans="2:100" hidden="1"/>
    <row r="91" spans="2:100" ht="18">
      <c r="B91" s="19" t="s">
        <v>54</v>
      </c>
    </row>
    <row r="92" spans="2:100" ht="13.5" thickBot="1"/>
    <row r="93" spans="2:100" ht="21" customHeight="1" thickBot="1">
      <c r="B93" s="1295" t="s">
        <v>249</v>
      </c>
      <c r="C93" s="1295"/>
      <c r="D93" s="1295"/>
      <c r="E93" s="1295"/>
      <c r="F93" s="1295"/>
      <c r="G93" s="1296"/>
      <c r="H93" s="1297">
        <f>AA50</f>
        <v>0</v>
      </c>
      <c r="I93" s="1298"/>
      <c r="J93" s="1298"/>
      <c r="K93" s="1299"/>
      <c r="M93" s="39" t="s">
        <v>2</v>
      </c>
      <c r="N93" s="39"/>
      <c r="O93" s="39"/>
      <c r="P93" s="39"/>
      <c r="Q93" s="39"/>
      <c r="R93" s="39"/>
      <c r="S93" s="39"/>
      <c r="T93" s="40"/>
      <c r="U93" s="40"/>
      <c r="V93" s="40"/>
      <c r="W93" s="40"/>
      <c r="X93" s="40"/>
    </row>
    <row r="94" spans="2:100" ht="9" customHeight="1" thickBot="1">
      <c r="B94" s="41"/>
      <c r="C94" s="41"/>
      <c r="D94" s="41"/>
      <c r="E94" s="41"/>
      <c r="F94" s="41"/>
      <c r="G94" s="42"/>
      <c r="H94" s="43"/>
      <c r="I94" s="43"/>
      <c r="J94" s="43"/>
      <c r="K94" s="43"/>
      <c r="N94" s="17"/>
      <c r="O94" s="17"/>
      <c r="P94" s="17"/>
      <c r="Q94" s="17"/>
      <c r="R94" s="17"/>
      <c r="S94" s="17"/>
      <c r="T94" s="44"/>
      <c r="U94" s="44"/>
      <c r="V94" s="44"/>
      <c r="W94" s="44"/>
      <c r="X94" s="44"/>
      <c r="Y94" s="17"/>
      <c r="Z94" s="17"/>
    </row>
    <row r="95" spans="2:100" ht="21" customHeight="1" thickBot="1">
      <c r="B95" s="41"/>
      <c r="D95" s="41"/>
      <c r="E95" s="41"/>
      <c r="F95" s="7" t="s">
        <v>231</v>
      </c>
      <c r="G95" s="189"/>
      <c r="H95" s="1300">
        <f>ROUNDUP(MAX(H93*0.05,50),-1)</f>
        <v>50</v>
      </c>
      <c r="I95" s="1301"/>
      <c r="J95" s="1301"/>
      <c r="K95" s="1302"/>
      <c r="N95" s="1303"/>
      <c r="O95" s="1303"/>
      <c r="P95" s="17"/>
      <c r="Q95" s="17"/>
      <c r="R95" s="17"/>
      <c r="S95" s="1303"/>
      <c r="T95" s="1303"/>
      <c r="U95" s="1303"/>
      <c r="V95" s="44"/>
      <c r="W95" s="45"/>
      <c r="X95" s="44"/>
      <c r="Y95" s="17"/>
      <c r="Z95" s="17"/>
    </row>
    <row r="96" spans="2:100" ht="9" customHeight="1" thickBot="1">
      <c r="B96" s="46"/>
      <c r="H96" s="47"/>
      <c r="I96" s="47"/>
      <c r="J96" s="47"/>
      <c r="K96" s="47"/>
      <c r="N96" s="17"/>
      <c r="O96" s="17"/>
      <c r="P96" s="17"/>
      <c r="Q96" s="17"/>
      <c r="R96" s="17"/>
      <c r="S96" s="17"/>
      <c r="T96" s="17"/>
      <c r="U96" s="17"/>
      <c r="V96" s="17"/>
      <c r="W96" s="17"/>
      <c r="X96" s="17"/>
      <c r="Y96" s="17"/>
      <c r="Z96" s="17"/>
    </row>
    <row r="97" spans="2:100" ht="21" customHeight="1" thickBot="1">
      <c r="B97" s="41"/>
      <c r="D97" s="41"/>
      <c r="E97" s="41"/>
      <c r="F97" s="7" t="s">
        <v>232</v>
      </c>
      <c r="G97" s="189"/>
      <c r="H97" s="1300">
        <v>50</v>
      </c>
      <c r="I97" s="1301"/>
      <c r="J97" s="1301"/>
      <c r="K97" s="1302"/>
      <c r="N97" s="1303"/>
      <c r="O97" s="1303"/>
      <c r="P97" s="17"/>
      <c r="Q97" s="17"/>
      <c r="R97" s="17"/>
      <c r="S97" s="1303"/>
      <c r="T97" s="1303"/>
      <c r="U97" s="1303"/>
      <c r="V97" s="44"/>
      <c r="W97" s="45"/>
      <c r="X97" s="44"/>
      <c r="Y97" s="17"/>
      <c r="Z97" s="17"/>
    </row>
    <row r="98" spans="2:100" ht="9" customHeight="1" thickBot="1">
      <c r="B98" s="46"/>
      <c r="H98" s="47"/>
      <c r="I98" s="47"/>
      <c r="J98" s="47"/>
      <c r="K98" s="47"/>
      <c r="N98" s="17"/>
      <c r="O98" s="17"/>
      <c r="P98" s="17"/>
      <c r="Q98" s="17"/>
      <c r="R98" s="17"/>
      <c r="S98" s="17"/>
      <c r="T98" s="17"/>
      <c r="U98" s="17"/>
      <c r="V98" s="17"/>
      <c r="W98" s="17"/>
      <c r="X98" s="17"/>
      <c r="Y98" s="17"/>
      <c r="Z98" s="17"/>
    </row>
    <row r="99" spans="2:100" ht="21" customHeight="1" thickBot="1">
      <c r="B99" s="48"/>
      <c r="C99" s="49"/>
      <c r="D99" s="49"/>
      <c r="E99" s="49"/>
      <c r="F99" s="50" t="s">
        <v>48</v>
      </c>
      <c r="G99" s="49"/>
      <c r="H99" s="1297">
        <f>SUM(H93,H95,H97)</f>
        <v>100</v>
      </c>
      <c r="I99" s="1298"/>
      <c r="J99" s="1298"/>
      <c r="K99" s="1299"/>
      <c r="L99" s="49"/>
      <c r="M99" s="49"/>
      <c r="N99" s="1313"/>
      <c r="O99" s="1313"/>
      <c r="P99" s="1313"/>
      <c r="Q99" s="17"/>
      <c r="R99" s="17"/>
      <c r="S99" s="17"/>
      <c r="T99" s="17"/>
      <c r="U99" s="17"/>
      <c r="V99" s="17"/>
      <c r="W99" s="17"/>
      <c r="X99" s="17"/>
      <c r="Y99" s="17"/>
      <c r="Z99" s="17"/>
    </row>
    <row r="100" spans="2:100" ht="4.5" customHeight="1">
      <c r="B100" s="48"/>
      <c r="C100" s="49"/>
      <c r="D100" s="49"/>
      <c r="E100" s="49"/>
      <c r="F100" s="49"/>
      <c r="G100" s="49"/>
      <c r="H100" s="51"/>
      <c r="I100" s="51"/>
      <c r="J100" s="51"/>
      <c r="K100" s="51"/>
      <c r="L100" s="49"/>
      <c r="M100" s="49"/>
      <c r="N100" s="17"/>
      <c r="O100" s="17"/>
      <c r="P100" s="17"/>
      <c r="Q100" s="17"/>
      <c r="R100" s="17"/>
      <c r="S100" s="17"/>
      <c r="T100" s="17"/>
      <c r="U100" s="17"/>
      <c r="V100" s="17"/>
      <c r="W100" s="17"/>
      <c r="X100" s="17"/>
      <c r="Y100" s="17"/>
      <c r="Z100" s="17"/>
    </row>
    <row r="101" spans="2:100" ht="5.25" customHeight="1">
      <c r="B101" s="48"/>
      <c r="C101" s="49"/>
      <c r="D101" s="49"/>
      <c r="E101" s="49"/>
      <c r="F101" s="49"/>
      <c r="G101" s="49"/>
      <c r="H101" s="1288"/>
      <c r="I101" s="1288"/>
      <c r="J101" s="1288"/>
      <c r="K101" s="1288"/>
      <c r="L101" s="49"/>
      <c r="M101" s="49"/>
      <c r="N101" s="17"/>
      <c r="O101" s="17"/>
      <c r="P101" s="17"/>
      <c r="Q101" s="17"/>
      <c r="R101" s="17"/>
      <c r="S101" s="17"/>
      <c r="T101" s="17"/>
      <c r="U101" s="17"/>
      <c r="V101" s="17"/>
      <c r="W101" s="126"/>
      <c r="X101" s="17"/>
      <c r="Y101" s="17"/>
      <c r="Z101" s="17"/>
    </row>
    <row r="102" spans="2:100" ht="21" customHeight="1">
      <c r="B102" s="48"/>
      <c r="C102" s="49"/>
      <c r="D102" s="49"/>
      <c r="E102" s="49"/>
      <c r="F102" s="49"/>
      <c r="G102" s="52" t="s">
        <v>2</v>
      </c>
      <c r="H102" s="1289" t="s">
        <v>2</v>
      </c>
      <c r="I102" s="1289"/>
      <c r="J102" s="1289"/>
      <c r="K102" s="1289"/>
      <c r="L102" s="49"/>
      <c r="M102" s="36" t="s">
        <v>2</v>
      </c>
      <c r="N102" s="1289"/>
      <c r="O102" s="1289"/>
      <c r="P102" s="1289"/>
      <c r="Q102" s="17"/>
      <c r="R102" s="17"/>
      <c r="S102" s="17"/>
      <c r="T102" s="17"/>
      <c r="U102" s="17"/>
      <c r="V102" s="17"/>
      <c r="W102" s="17"/>
      <c r="X102" s="17"/>
      <c r="Y102" s="17"/>
      <c r="Z102" s="17"/>
    </row>
    <row r="103" spans="2:100" ht="4.5" customHeight="1">
      <c r="B103" s="48"/>
      <c r="C103" s="49"/>
      <c r="D103" s="49"/>
      <c r="E103" s="49"/>
      <c r="F103" s="49"/>
      <c r="G103" s="49"/>
      <c r="H103" s="1294"/>
      <c r="I103" s="1294"/>
      <c r="J103" s="1294"/>
      <c r="K103" s="1294"/>
      <c r="L103" s="49"/>
      <c r="M103" s="49"/>
    </row>
    <row r="104" spans="2:100" ht="2.25" customHeight="1">
      <c r="B104" s="48"/>
      <c r="C104" s="49"/>
      <c r="D104" s="49"/>
      <c r="E104" s="49"/>
      <c r="F104" s="49"/>
      <c r="G104" s="49"/>
      <c r="H104" s="49"/>
      <c r="I104" s="49"/>
      <c r="J104" s="49"/>
      <c r="K104" s="49"/>
      <c r="L104" s="49"/>
      <c r="M104" s="49"/>
    </row>
    <row r="105" spans="2:100" s="20" customFormat="1" ht="13.5" hidden="1" thickBot="1">
      <c r="B105" s="53"/>
      <c r="AB105" s="135"/>
      <c r="AC105" s="135"/>
      <c r="AD105" s="135"/>
      <c r="AE105" s="136"/>
      <c r="AF105" s="135"/>
      <c r="AG105" s="135"/>
      <c r="AH105" s="135"/>
      <c r="AI105" s="135"/>
      <c r="AJ105" s="135"/>
      <c r="AK105" s="135"/>
      <c r="AL105" s="135"/>
      <c r="AM105" s="135"/>
      <c r="AN105" s="135"/>
      <c r="AO105" s="135"/>
      <c r="AP105" s="135"/>
      <c r="AQ105" s="135"/>
      <c r="AR105" s="135"/>
      <c r="AS105" s="135"/>
      <c r="AT105" s="135"/>
      <c r="AU105" s="135"/>
      <c r="AV105" s="135"/>
      <c r="AW105" s="131"/>
      <c r="AX105" s="131"/>
      <c r="AY105" s="131"/>
      <c r="AZ105" s="131"/>
      <c r="BA105" s="131"/>
      <c r="BB105" s="131"/>
      <c r="BC105" s="131"/>
      <c r="BD105" s="131"/>
      <c r="BE105" s="131"/>
      <c r="BF105" s="131"/>
      <c r="BG105" s="131"/>
      <c r="BH105" s="131"/>
      <c r="BI105" s="131"/>
      <c r="BJ105" s="131"/>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7"/>
    </row>
    <row r="106" spans="2:100" s="159" customFormat="1" ht="18">
      <c r="B106" s="190" t="s">
        <v>50</v>
      </c>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c r="BQ106" s="135"/>
      <c r="BR106" s="135"/>
      <c r="BS106" s="135"/>
      <c r="BT106" s="135"/>
      <c r="BU106" s="135"/>
      <c r="BV106" s="135"/>
      <c r="BW106" s="135"/>
      <c r="BX106" s="135"/>
      <c r="BY106" s="135"/>
      <c r="BZ106" s="135"/>
      <c r="CA106" s="135"/>
      <c r="CB106" s="135"/>
      <c r="CC106" s="135"/>
      <c r="CD106" s="135"/>
      <c r="CE106" s="135"/>
      <c r="CF106" s="135"/>
      <c r="CG106" s="135"/>
      <c r="CH106" s="135"/>
      <c r="CI106" s="135"/>
      <c r="CJ106" s="135"/>
      <c r="CK106" s="135"/>
      <c r="CL106" s="135"/>
      <c r="CM106" s="135"/>
      <c r="CN106" s="135"/>
      <c r="CO106" s="135"/>
      <c r="CP106" s="135"/>
      <c r="CQ106" s="135"/>
      <c r="CR106" s="135"/>
      <c r="CS106" s="135"/>
      <c r="CT106" s="135"/>
      <c r="CU106" s="135"/>
      <c r="CV106" s="135"/>
    </row>
    <row r="107" spans="2:100" s="159" customFormat="1">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35"/>
      <c r="BY107" s="135"/>
      <c r="BZ107" s="135"/>
      <c r="CA107" s="135"/>
      <c r="CB107" s="135"/>
      <c r="CC107" s="135"/>
      <c r="CD107" s="135"/>
      <c r="CE107" s="135"/>
      <c r="CF107" s="135"/>
      <c r="CG107" s="135"/>
      <c r="CH107" s="135"/>
      <c r="CI107" s="135"/>
      <c r="CJ107" s="135"/>
      <c r="CK107" s="135"/>
      <c r="CL107" s="135"/>
      <c r="CM107" s="135"/>
      <c r="CN107" s="135"/>
      <c r="CO107" s="135"/>
      <c r="CP107" s="135"/>
      <c r="CQ107" s="135"/>
      <c r="CR107" s="135"/>
      <c r="CS107" s="135"/>
      <c r="CT107" s="135"/>
      <c r="CU107" s="135"/>
      <c r="CV107" s="135"/>
    </row>
    <row r="108" spans="2:100" s="159" customFormat="1">
      <c r="B108" s="188" t="s">
        <v>2</v>
      </c>
      <c r="C108" s="188" t="s">
        <v>163</v>
      </c>
      <c r="D108" s="188"/>
      <c r="E108" s="188"/>
      <c r="F108" s="188"/>
      <c r="G108" s="188"/>
      <c r="H108" s="188"/>
      <c r="I108" s="188" t="s">
        <v>164</v>
      </c>
      <c r="J108" s="188"/>
      <c r="K108" s="188"/>
      <c r="L108" s="188"/>
      <c r="M108" s="188"/>
      <c r="N108" s="188"/>
      <c r="O108" s="188"/>
      <c r="P108" s="188"/>
      <c r="Q108" s="188"/>
      <c r="R108" s="188"/>
      <c r="S108" s="188"/>
      <c r="T108" s="188"/>
      <c r="U108" s="188"/>
      <c r="V108" s="188"/>
      <c r="W108" s="188" t="s">
        <v>75</v>
      </c>
      <c r="X108" s="188"/>
      <c r="Y108" s="188"/>
      <c r="Z108" s="188"/>
      <c r="AA108" s="188"/>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c r="BX108" s="135"/>
      <c r="BY108" s="135"/>
      <c r="BZ108" s="135"/>
      <c r="CA108" s="135"/>
      <c r="CB108" s="135"/>
      <c r="CC108" s="135"/>
      <c r="CD108" s="135"/>
      <c r="CE108" s="135"/>
      <c r="CF108" s="135"/>
      <c r="CG108" s="135"/>
      <c r="CH108" s="135"/>
      <c r="CI108" s="135"/>
      <c r="CJ108" s="135"/>
      <c r="CK108" s="135"/>
      <c r="CL108" s="135"/>
      <c r="CM108" s="135"/>
      <c r="CN108" s="135"/>
      <c r="CO108" s="135"/>
      <c r="CP108" s="135"/>
      <c r="CQ108" s="135"/>
      <c r="CR108" s="135"/>
      <c r="CS108" s="135"/>
      <c r="CT108" s="135"/>
      <c r="CU108" s="135"/>
      <c r="CV108" s="135"/>
    </row>
    <row r="109" spans="2:100" s="159" customFormat="1" ht="15" customHeight="1">
      <c r="B109" s="191" t="s">
        <v>2</v>
      </c>
      <c r="C109" s="192" t="str">
        <f>PROPOSITION!C50</f>
        <v xml:space="preserve"> </v>
      </c>
      <c r="D109" s="192" t="str">
        <f>[5]APPLICATION!D50</f>
        <v xml:space="preserve"> </v>
      </c>
      <c r="E109" s="1292" t="str">
        <f>PROPOSITION!D50</f>
        <v xml:space="preserve"> </v>
      </c>
      <c r="F109" s="1293"/>
      <c r="G109" s="1293"/>
      <c r="H109" s="1293"/>
      <c r="I109" s="1293"/>
      <c r="J109" s="1293"/>
      <c r="K109" s="1293"/>
      <c r="L109" s="1293"/>
      <c r="M109" s="1293"/>
      <c r="N109" s="1293"/>
      <c r="O109" s="1293"/>
      <c r="P109" s="1293"/>
      <c r="Q109" s="1293"/>
      <c r="R109" s="1293"/>
      <c r="S109" s="1293"/>
      <c r="T109" s="1293"/>
      <c r="U109" s="1293"/>
      <c r="V109" s="193" t="e">
        <f>[5]APPLICATION!W50</f>
        <v>#REF!</v>
      </c>
      <c r="W109" s="1291">
        <f>PROPOSITION!W50</f>
        <v>0</v>
      </c>
      <c r="X109" s="1291"/>
      <c r="Y109" s="1291"/>
      <c r="Z109" s="188"/>
      <c r="AA109" s="188"/>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c r="BX109" s="135"/>
      <c r="BY109" s="135"/>
      <c r="BZ109" s="135"/>
      <c r="CA109" s="135"/>
      <c r="CB109" s="135"/>
      <c r="CC109" s="135"/>
      <c r="CD109" s="135"/>
      <c r="CE109" s="135"/>
      <c r="CF109" s="135"/>
      <c r="CG109" s="135"/>
      <c r="CH109" s="135"/>
      <c r="CI109" s="135"/>
      <c r="CJ109" s="135"/>
      <c r="CK109" s="135"/>
      <c r="CL109" s="135"/>
      <c r="CM109" s="135"/>
      <c r="CN109" s="135"/>
      <c r="CO109" s="135"/>
      <c r="CP109" s="135"/>
      <c r="CQ109" s="135"/>
      <c r="CR109" s="135"/>
      <c r="CS109" s="135"/>
      <c r="CT109" s="135"/>
      <c r="CU109" s="135"/>
      <c r="CV109" s="135"/>
    </row>
    <row r="110" spans="2:100" s="159" customFormat="1" ht="15" customHeight="1">
      <c r="B110" s="191" t="s">
        <v>2</v>
      </c>
      <c r="C110" s="192" t="str">
        <f>PROPOSITION!C51</f>
        <v xml:space="preserve"> </v>
      </c>
      <c r="D110" s="192" t="e">
        <f>[5]APPLICATION!D51</f>
        <v>#REF!</v>
      </c>
      <c r="E110" s="1292" t="str">
        <f>PROPOSITION!D50</f>
        <v xml:space="preserve"> </v>
      </c>
      <c r="F110" s="1293"/>
      <c r="G110" s="1293"/>
      <c r="H110" s="1293"/>
      <c r="I110" s="1293"/>
      <c r="J110" s="1293"/>
      <c r="K110" s="1293"/>
      <c r="L110" s="1293"/>
      <c r="M110" s="1293"/>
      <c r="N110" s="1293"/>
      <c r="O110" s="1293"/>
      <c r="P110" s="1293"/>
      <c r="Q110" s="1293"/>
      <c r="R110" s="1293"/>
      <c r="S110" s="1293"/>
      <c r="T110" s="1293"/>
      <c r="U110" s="1293"/>
      <c r="V110" s="193" t="e">
        <f>[5]APPLICATION!W51</f>
        <v>#REF!</v>
      </c>
      <c r="W110" s="1291">
        <f>PROPOSITION!W50</f>
        <v>0</v>
      </c>
      <c r="X110" s="1291"/>
      <c r="Y110" s="1291"/>
      <c r="Z110" s="188"/>
      <c r="AA110" s="188"/>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row>
    <row r="111" spans="2:100" s="159" customFormat="1" ht="15" customHeight="1">
      <c r="B111" s="191" t="s">
        <v>2</v>
      </c>
      <c r="C111" s="192" t="str">
        <f>PROPOSITION!C52</f>
        <v xml:space="preserve"> </v>
      </c>
      <c r="D111" s="192" t="str">
        <f>[5]APPLICATION!D52</f>
        <v xml:space="preserve"> </v>
      </c>
      <c r="E111" s="1292" t="str">
        <f>PROPOSITION!D50</f>
        <v xml:space="preserve"> </v>
      </c>
      <c r="F111" s="1293"/>
      <c r="G111" s="1293"/>
      <c r="H111" s="1293"/>
      <c r="I111" s="1293"/>
      <c r="J111" s="1293"/>
      <c r="K111" s="1293"/>
      <c r="L111" s="1293"/>
      <c r="M111" s="1293"/>
      <c r="N111" s="1293"/>
      <c r="O111" s="1293"/>
      <c r="P111" s="1293"/>
      <c r="Q111" s="1293"/>
      <c r="R111" s="1293"/>
      <c r="S111" s="1293"/>
      <c r="T111" s="1293"/>
      <c r="U111" s="1293"/>
      <c r="V111" s="193" t="e">
        <f>[5]APPLICATION!W52</f>
        <v>#REF!</v>
      </c>
      <c r="W111" s="1291">
        <f>PROPOSITION!W50</f>
        <v>0</v>
      </c>
      <c r="X111" s="1291"/>
      <c r="Y111" s="1291"/>
      <c r="Z111" s="188"/>
      <c r="AA111" s="188"/>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c r="BX111" s="135"/>
      <c r="BY111" s="135"/>
      <c r="BZ111" s="135"/>
      <c r="CA111" s="135"/>
      <c r="CB111" s="135"/>
      <c r="CC111" s="135"/>
      <c r="CD111" s="135"/>
      <c r="CE111" s="135"/>
      <c r="CF111" s="135"/>
      <c r="CG111" s="135"/>
      <c r="CH111" s="135"/>
      <c r="CI111" s="135"/>
      <c r="CJ111" s="135"/>
      <c r="CK111" s="135"/>
      <c r="CL111" s="135"/>
      <c r="CM111" s="135"/>
      <c r="CN111" s="135"/>
      <c r="CO111" s="135"/>
      <c r="CP111" s="135"/>
      <c r="CQ111" s="135"/>
      <c r="CR111" s="135"/>
      <c r="CS111" s="135"/>
      <c r="CT111" s="135"/>
      <c r="CU111" s="135"/>
      <c r="CV111" s="135"/>
    </row>
    <row r="112" spans="2:100" s="159" customFormat="1" ht="15" customHeight="1">
      <c r="B112" s="191" t="s">
        <v>2</v>
      </c>
      <c r="C112" s="192" t="str">
        <f>PROPOSITION!C53</f>
        <v xml:space="preserve"> </v>
      </c>
      <c r="D112" s="192" t="e">
        <f>[5]APPLICATION!D53</f>
        <v>#REF!</v>
      </c>
      <c r="E112" s="1292" t="str">
        <f>PROPOSITION!D50</f>
        <v xml:space="preserve"> </v>
      </c>
      <c r="F112" s="1293"/>
      <c r="G112" s="1293"/>
      <c r="H112" s="1293"/>
      <c r="I112" s="1293"/>
      <c r="J112" s="1293"/>
      <c r="K112" s="1293"/>
      <c r="L112" s="1293"/>
      <c r="M112" s="1293"/>
      <c r="N112" s="1293"/>
      <c r="O112" s="1293"/>
      <c r="P112" s="1293"/>
      <c r="Q112" s="1293"/>
      <c r="R112" s="1293"/>
      <c r="S112" s="1293"/>
      <c r="T112" s="1293"/>
      <c r="U112" s="1293"/>
      <c r="V112" s="193" t="e">
        <f>[5]APPLICATION!W53</f>
        <v>#REF!</v>
      </c>
      <c r="W112" s="1291">
        <f>PROPOSITION!W50</f>
        <v>0</v>
      </c>
      <c r="X112" s="1291"/>
      <c r="Y112" s="1291"/>
      <c r="Z112" s="188"/>
      <c r="AA112" s="188"/>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35"/>
      <c r="CK112" s="135"/>
      <c r="CL112" s="135"/>
      <c r="CM112" s="135"/>
      <c r="CN112" s="135"/>
      <c r="CO112" s="135"/>
      <c r="CP112" s="135"/>
      <c r="CQ112" s="135"/>
      <c r="CR112" s="135"/>
      <c r="CS112" s="135"/>
      <c r="CT112" s="135"/>
      <c r="CU112" s="135"/>
      <c r="CV112" s="135"/>
    </row>
    <row r="113" spans="2:100" s="159" customFormat="1" ht="15" customHeight="1">
      <c r="B113" s="191" t="s">
        <v>2</v>
      </c>
      <c r="C113" s="192" t="str">
        <f>PROPOSITION!C54</f>
        <v xml:space="preserve"> </v>
      </c>
      <c r="D113" s="192" t="e">
        <f>[5]APPLICATION!D54</f>
        <v>#REF!</v>
      </c>
      <c r="E113" s="1292" t="str">
        <f>PROPOSITION!D50</f>
        <v xml:space="preserve"> </v>
      </c>
      <c r="F113" s="1293"/>
      <c r="G113" s="1293"/>
      <c r="H113" s="1293"/>
      <c r="I113" s="1293"/>
      <c r="J113" s="1293"/>
      <c r="K113" s="1293"/>
      <c r="L113" s="1293"/>
      <c r="M113" s="1293"/>
      <c r="N113" s="1293"/>
      <c r="O113" s="1293"/>
      <c r="P113" s="1293"/>
      <c r="Q113" s="1293"/>
      <c r="R113" s="1293"/>
      <c r="S113" s="1293"/>
      <c r="T113" s="1293"/>
      <c r="U113" s="1293"/>
      <c r="V113" s="193" t="e">
        <f>[5]APPLICATION!W54</f>
        <v>#REF!</v>
      </c>
      <c r="W113" s="1291">
        <f>PROPOSITION!W50</f>
        <v>0</v>
      </c>
      <c r="X113" s="1291"/>
      <c r="Y113" s="1291"/>
      <c r="Z113" s="188"/>
      <c r="AA113" s="188"/>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35"/>
      <c r="CR113" s="135"/>
      <c r="CS113" s="135"/>
      <c r="CT113" s="135"/>
      <c r="CU113" s="135"/>
      <c r="CV113" s="135"/>
    </row>
    <row r="114" spans="2:100" s="159" customFormat="1" ht="15" customHeight="1">
      <c r="B114" s="191" t="s">
        <v>2</v>
      </c>
      <c r="C114" s="192" t="str">
        <f>PROPOSITION!C55</f>
        <v xml:space="preserve"> </v>
      </c>
      <c r="D114" s="192" t="e">
        <f>[5]APPLICATION!D55</f>
        <v>#REF!</v>
      </c>
      <c r="E114" s="1292" t="str">
        <f>PROPOSITION!D50</f>
        <v xml:space="preserve"> </v>
      </c>
      <c r="F114" s="1293"/>
      <c r="G114" s="1293"/>
      <c r="H114" s="1293"/>
      <c r="I114" s="1293"/>
      <c r="J114" s="1293"/>
      <c r="K114" s="1293"/>
      <c r="L114" s="1293"/>
      <c r="M114" s="1293"/>
      <c r="N114" s="1293"/>
      <c r="O114" s="1293"/>
      <c r="P114" s="1293"/>
      <c r="Q114" s="1293"/>
      <c r="R114" s="1293"/>
      <c r="S114" s="1293"/>
      <c r="T114" s="1293"/>
      <c r="U114" s="1293"/>
      <c r="V114" s="193" t="e">
        <f>[5]APPLICATION!W55</f>
        <v>#REF!</v>
      </c>
      <c r="W114" s="1291">
        <f>PROPOSITION!W50</f>
        <v>0</v>
      </c>
      <c r="X114" s="1291"/>
      <c r="Y114" s="1291"/>
      <c r="Z114" s="188"/>
      <c r="AA114" s="188"/>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135"/>
      <c r="CO114" s="135"/>
      <c r="CP114" s="135"/>
      <c r="CQ114" s="135"/>
      <c r="CR114" s="135"/>
      <c r="CS114" s="135"/>
      <c r="CT114" s="135"/>
      <c r="CU114" s="135"/>
      <c r="CV114" s="135"/>
    </row>
    <row r="115" spans="2:100" s="159" customFormat="1" ht="15" customHeight="1">
      <c r="B115" s="191" t="s">
        <v>2</v>
      </c>
      <c r="C115" s="192" t="str">
        <f>PROPOSITION!C56</f>
        <v xml:space="preserve"> </v>
      </c>
      <c r="D115" s="192" t="e">
        <f>[5]APPLICATION!D56</f>
        <v>#REF!</v>
      </c>
      <c r="E115" s="1292" t="str">
        <f>PROPOSITION!D50</f>
        <v xml:space="preserve"> </v>
      </c>
      <c r="F115" s="1293"/>
      <c r="G115" s="1293"/>
      <c r="H115" s="1293"/>
      <c r="I115" s="1293"/>
      <c r="J115" s="1293"/>
      <c r="K115" s="1293"/>
      <c r="L115" s="1293"/>
      <c r="M115" s="1293"/>
      <c r="N115" s="1293"/>
      <c r="O115" s="1293"/>
      <c r="P115" s="1293"/>
      <c r="Q115" s="1293"/>
      <c r="R115" s="1293"/>
      <c r="S115" s="1293"/>
      <c r="T115" s="1293"/>
      <c r="U115" s="1293"/>
      <c r="V115" s="193" t="e">
        <f>[5]APPLICATION!W56</f>
        <v>#REF!</v>
      </c>
      <c r="W115" s="1291">
        <f>PROPOSITION!W50</f>
        <v>0</v>
      </c>
      <c r="X115" s="1291"/>
      <c r="Y115" s="1291"/>
      <c r="Z115" s="188"/>
      <c r="AA115" s="188"/>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135"/>
      <c r="CO115" s="135"/>
      <c r="CP115" s="135"/>
      <c r="CQ115" s="135"/>
      <c r="CR115" s="135"/>
      <c r="CS115" s="135"/>
      <c r="CT115" s="135"/>
      <c r="CU115" s="135"/>
      <c r="CV115" s="135"/>
    </row>
    <row r="116" spans="2:100" s="159" customFormat="1" ht="15" customHeight="1">
      <c r="B116" s="191" t="s">
        <v>2</v>
      </c>
      <c r="C116" s="192" t="str">
        <f>PROPOSITION!C57</f>
        <v xml:space="preserve"> </v>
      </c>
      <c r="D116" s="192" t="e">
        <f>[5]APPLICATION!D57</f>
        <v>#REF!</v>
      </c>
      <c r="E116" s="1292" t="str">
        <f>PROPOSITION!D50</f>
        <v xml:space="preserve"> </v>
      </c>
      <c r="F116" s="1293"/>
      <c r="G116" s="1293"/>
      <c r="H116" s="1293"/>
      <c r="I116" s="1293"/>
      <c r="J116" s="1293"/>
      <c r="K116" s="1293"/>
      <c r="L116" s="1293"/>
      <c r="M116" s="1293"/>
      <c r="N116" s="1293"/>
      <c r="O116" s="1293"/>
      <c r="P116" s="1293"/>
      <c r="Q116" s="1293"/>
      <c r="R116" s="1293"/>
      <c r="S116" s="1293"/>
      <c r="T116" s="1293"/>
      <c r="U116" s="1293"/>
      <c r="V116" s="193" t="e">
        <f>[5]APPLICATION!W57</f>
        <v>#REF!</v>
      </c>
      <c r="W116" s="1291">
        <f>PROPOSITION!W50</f>
        <v>0</v>
      </c>
      <c r="X116" s="1291"/>
      <c r="Y116" s="1291"/>
      <c r="Z116" s="188"/>
      <c r="AA116" s="188"/>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row>
    <row r="117" spans="2:100" s="159" customFormat="1">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35"/>
      <c r="AC117" s="135"/>
      <c r="AD117" s="135"/>
      <c r="AE117" s="136"/>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35"/>
    </row>
    <row r="118" spans="2:100" s="159" customFormat="1">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6"/>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c r="BX118" s="135"/>
      <c r="BY118" s="135"/>
      <c r="BZ118" s="135"/>
      <c r="CA118" s="135"/>
      <c r="CB118" s="135"/>
      <c r="CC118" s="135"/>
      <c r="CD118" s="135"/>
      <c r="CE118" s="135"/>
      <c r="CF118" s="135"/>
      <c r="CG118" s="135"/>
      <c r="CH118" s="135"/>
      <c r="CI118" s="135"/>
      <c r="CJ118" s="135"/>
      <c r="CK118" s="135"/>
      <c r="CL118" s="135"/>
      <c r="CM118" s="135"/>
      <c r="CN118" s="135"/>
      <c r="CO118" s="135"/>
      <c r="CP118" s="135"/>
      <c r="CQ118" s="135"/>
      <c r="CR118" s="135"/>
      <c r="CS118" s="135"/>
      <c r="CT118" s="135"/>
      <c r="CU118" s="135"/>
      <c r="CV118" s="135"/>
    </row>
    <row r="119" spans="2:100">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35" spans="1:99" ht="90" customHeight="1"/>
    <row r="136" spans="1:99">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row>
    <row r="137" spans="1:99">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row>
    <row r="138" spans="1:99" s="17" customFormat="1">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35"/>
      <c r="AE138" s="136"/>
      <c r="AF138" s="135"/>
      <c r="AG138" s="135"/>
      <c r="AH138" s="135"/>
      <c r="AI138" s="135"/>
      <c r="AJ138" s="135"/>
      <c r="AK138" s="135"/>
      <c r="AL138" s="135"/>
      <c r="AM138" s="135"/>
      <c r="AN138" s="135"/>
      <c r="AO138" s="135"/>
      <c r="AP138" s="135"/>
      <c r="AQ138" s="135"/>
      <c r="AR138" s="135"/>
      <c r="AS138" s="135"/>
      <c r="AT138" s="135"/>
      <c r="AU138" s="135"/>
      <c r="AV138" s="135"/>
      <c r="AW138" s="131"/>
      <c r="AX138" s="131"/>
      <c r="AY138" s="131"/>
      <c r="AZ138" s="131"/>
      <c r="BA138" s="131"/>
      <c r="BB138" s="131"/>
      <c r="BC138" s="131"/>
      <c r="BD138" s="131"/>
      <c r="BE138" s="131"/>
      <c r="BF138" s="131"/>
      <c r="BG138" s="131"/>
      <c r="BH138" s="131"/>
      <c r="BI138" s="131"/>
      <c r="BJ138" s="131"/>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row>
    <row r="139" spans="1:99" s="17" customFormat="1" ht="18">
      <c r="A139" s="160"/>
      <c r="B139" s="161" t="s">
        <v>38</v>
      </c>
      <c r="C139" s="160"/>
      <c r="D139" s="160"/>
      <c r="E139" s="160"/>
      <c r="F139" s="160"/>
      <c r="G139" s="160"/>
      <c r="H139" s="160" t="s">
        <v>210</v>
      </c>
      <c r="I139" s="160"/>
      <c r="J139" s="160"/>
      <c r="K139" s="160"/>
      <c r="L139" s="160"/>
      <c r="M139" s="160"/>
      <c r="N139" s="160"/>
      <c r="O139" s="160"/>
      <c r="P139" s="160"/>
      <c r="Q139" s="160"/>
      <c r="R139" s="160"/>
      <c r="S139" s="160"/>
      <c r="T139" s="160"/>
      <c r="U139" s="160"/>
      <c r="V139" s="160"/>
      <c r="W139" s="160"/>
      <c r="X139" s="160"/>
      <c r="Y139" s="160"/>
      <c r="Z139" s="160">
        <f>IF(N17="x",AA49,0)</f>
        <v>0</v>
      </c>
      <c r="AA139" s="160"/>
      <c r="AB139" s="160"/>
      <c r="AC139" s="160"/>
      <c r="AD139" s="135"/>
      <c r="AE139" s="136"/>
      <c r="AF139" s="135"/>
      <c r="AG139" s="135"/>
      <c r="AH139" s="135"/>
      <c r="AI139" s="135"/>
      <c r="AJ139" s="135"/>
      <c r="AK139" s="135"/>
      <c r="AL139" s="135"/>
      <c r="AM139" s="135"/>
      <c r="AN139" s="135"/>
      <c r="AO139" s="135"/>
      <c r="AP139" s="135"/>
      <c r="AQ139" s="135"/>
      <c r="AR139" s="135"/>
      <c r="AS139" s="135"/>
      <c r="AT139" s="135"/>
      <c r="AU139" s="135"/>
      <c r="AV139" s="135"/>
      <c r="AW139" s="131"/>
      <c r="AX139" s="131"/>
      <c r="AY139" s="131"/>
      <c r="AZ139" s="131"/>
      <c r="BA139" s="131"/>
      <c r="BB139" s="131"/>
      <c r="BC139" s="131"/>
      <c r="BD139" s="131"/>
      <c r="BE139" s="131"/>
      <c r="BF139" s="131"/>
      <c r="BG139" s="131"/>
      <c r="BH139" s="131"/>
      <c r="BI139" s="131"/>
      <c r="BJ139" s="131"/>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row>
    <row r="140" spans="1:99" ht="11.25" customHeight="1">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f>IF(O17="x",(AA49+Y49)/2,0)</f>
        <v>0</v>
      </c>
      <c r="AA140" s="160"/>
      <c r="AB140" s="160"/>
      <c r="AC140" s="160"/>
    </row>
    <row r="141" spans="1:99" ht="5.25" customHeight="1">
      <c r="A141" s="160"/>
      <c r="B141" s="160"/>
      <c r="C141" s="162"/>
      <c r="D141" s="162"/>
      <c r="E141" s="163"/>
      <c r="F141" s="163"/>
      <c r="G141" s="163"/>
      <c r="H141" s="164"/>
      <c r="I141" s="164"/>
      <c r="J141" s="164"/>
      <c r="K141" s="164"/>
      <c r="L141" s="164"/>
      <c r="M141" s="164"/>
      <c r="N141" s="164"/>
      <c r="O141" s="164"/>
      <c r="P141" s="164"/>
      <c r="Q141" s="164"/>
      <c r="R141" s="164"/>
      <c r="S141" s="164"/>
      <c r="T141" s="164"/>
      <c r="U141" s="164"/>
      <c r="V141" s="162"/>
      <c r="W141" s="162"/>
      <c r="X141" s="160"/>
      <c r="Y141" s="160"/>
      <c r="Z141" s="160"/>
      <c r="AA141" s="160"/>
      <c r="AB141" s="160"/>
      <c r="AC141" s="160"/>
    </row>
    <row r="142" spans="1:99">
      <c r="A142" s="160"/>
      <c r="B142" s="160"/>
      <c r="C142" s="162"/>
      <c r="D142" s="162"/>
      <c r="E142" s="162"/>
      <c r="F142" s="162"/>
      <c r="G142" s="162"/>
      <c r="H142" s="164"/>
      <c r="I142" s="164"/>
      <c r="J142" s="164"/>
      <c r="K142" s="164"/>
      <c r="L142" s="164"/>
      <c r="M142" s="164"/>
      <c r="N142" s="164"/>
      <c r="O142" s="164"/>
      <c r="P142" s="164"/>
      <c r="Q142" s="164"/>
      <c r="R142" s="164"/>
      <c r="S142" s="164"/>
      <c r="T142" s="164"/>
      <c r="U142" s="164"/>
      <c r="V142" s="162"/>
      <c r="W142" s="162"/>
      <c r="X142" s="160"/>
      <c r="Y142" s="160"/>
      <c r="Z142" s="160">
        <f>IF(P17="x",Y49,0)</f>
        <v>0</v>
      </c>
      <c r="AA142" s="160"/>
      <c r="AB142" s="160"/>
      <c r="AC142" s="160"/>
      <c r="AE142" s="144">
        <f>P49</f>
        <v>2.4999999999999996E-8</v>
      </c>
      <c r="AF142" s="135">
        <f>IF(AI142&gt;0,1,0)</f>
        <v>1</v>
      </c>
      <c r="AG142" s="135">
        <f>IF(AE142&gt;999999,0,1)</f>
        <v>1</v>
      </c>
      <c r="AH142" s="135">
        <f>IF(AT50&gt;5,0,1)</f>
        <v>1</v>
      </c>
      <c r="AI142" s="135">
        <f>AG142+AH142</f>
        <v>2</v>
      </c>
    </row>
    <row r="143" spans="1:99">
      <c r="A143" s="160"/>
      <c r="B143" s="160"/>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0"/>
      <c r="Y143" s="160"/>
      <c r="Z143" s="160">
        <f>SUM(Z139:Z142)</f>
        <v>0</v>
      </c>
      <c r="AA143" s="160"/>
      <c r="AB143" s="160"/>
      <c r="AC143" s="160"/>
    </row>
    <row r="144" spans="1:99" ht="8.25" customHeight="1">
      <c r="A144" s="160"/>
      <c r="B144" s="160"/>
      <c r="C144" s="160"/>
      <c r="D144" s="160"/>
      <c r="E144" s="160"/>
      <c r="F144" s="160"/>
      <c r="G144" s="160"/>
      <c r="H144" s="160"/>
      <c r="I144" s="168"/>
      <c r="J144" s="160"/>
      <c r="K144" s="160"/>
      <c r="L144" s="160"/>
      <c r="M144" s="160"/>
      <c r="N144" s="160"/>
      <c r="O144" s="160"/>
      <c r="P144" s="160"/>
      <c r="Q144" s="160"/>
      <c r="R144" s="160"/>
      <c r="S144" s="160"/>
      <c r="T144" s="160"/>
      <c r="U144" s="160"/>
      <c r="V144" s="160"/>
      <c r="W144" s="160"/>
      <c r="X144" s="160"/>
      <c r="Y144" s="160"/>
      <c r="Z144" s="160"/>
      <c r="AA144" s="160"/>
      <c r="AB144" s="160"/>
      <c r="AC144" s="160"/>
    </row>
    <row r="145" spans="1:100" s="37" customFormat="1" ht="180.75" customHeight="1">
      <c r="A145" s="165"/>
      <c r="B145" s="165"/>
      <c r="C145" s="169">
        <f>MAX((AT50-2),0)*-3</f>
        <v>0</v>
      </c>
      <c r="D145" s="165"/>
      <c r="E145" s="170" t="s">
        <v>211</v>
      </c>
      <c r="F145" s="171"/>
      <c r="G145" s="171"/>
      <c r="H145" s="171"/>
      <c r="I145" s="172"/>
      <c r="J145" s="171"/>
      <c r="K145" s="171"/>
      <c r="L145" s="170" t="s">
        <v>212</v>
      </c>
      <c r="M145" s="171"/>
      <c r="N145" s="170" t="s">
        <v>213</v>
      </c>
      <c r="O145" s="170" t="s">
        <v>214</v>
      </c>
      <c r="P145" s="170" t="s">
        <v>215</v>
      </c>
      <c r="Q145" s="170" t="s">
        <v>216</v>
      </c>
      <c r="R145" s="171"/>
      <c r="S145" s="171"/>
      <c r="T145" s="171"/>
      <c r="U145" s="170" t="s">
        <v>217</v>
      </c>
      <c r="V145" s="170"/>
      <c r="W145" s="170" t="s">
        <v>218</v>
      </c>
      <c r="X145" s="165"/>
      <c r="Y145" s="1290" t="s">
        <v>2</v>
      </c>
      <c r="Z145" s="1290"/>
      <c r="AA145" s="173"/>
      <c r="AB145" s="165" t="s">
        <v>155</v>
      </c>
      <c r="AC145" s="165"/>
      <c r="AD145" s="147"/>
      <c r="AE145" s="148"/>
      <c r="AF145" s="147"/>
      <c r="AG145" s="147"/>
      <c r="AH145" s="147"/>
      <c r="AI145" s="147"/>
      <c r="AJ145" s="147"/>
      <c r="AK145" s="147"/>
      <c r="AL145" s="147"/>
      <c r="AM145" s="147"/>
      <c r="AN145" s="147"/>
      <c r="AO145" s="147"/>
      <c r="AP145" s="147"/>
      <c r="AQ145" s="147"/>
      <c r="AR145" s="147"/>
      <c r="AS145" s="147"/>
      <c r="AT145" s="147"/>
      <c r="AU145" s="147"/>
      <c r="AV145" s="147"/>
      <c r="AW145" s="134"/>
      <c r="AX145" s="134"/>
      <c r="AY145" s="134"/>
      <c r="AZ145" s="134"/>
      <c r="BA145" s="134"/>
      <c r="BB145" s="134"/>
      <c r="BC145" s="134"/>
      <c r="BD145" s="134"/>
      <c r="BE145" s="134"/>
      <c r="BF145" s="134"/>
      <c r="BG145" s="134"/>
      <c r="BH145" s="134"/>
      <c r="BI145" s="134"/>
      <c r="BJ145" s="134"/>
      <c r="BK145" s="124"/>
      <c r="BL145" s="124"/>
      <c r="BM145" s="124"/>
      <c r="BN145" s="124"/>
      <c r="BO145" s="124"/>
      <c r="BP145" s="124"/>
      <c r="BQ145" s="124"/>
      <c r="BR145" s="124"/>
      <c r="BS145" s="124"/>
      <c r="BT145" s="124"/>
      <c r="BU145" s="124"/>
      <c r="BV145" s="124"/>
      <c r="BW145" s="124"/>
      <c r="BX145" s="124"/>
      <c r="BY145" s="124"/>
      <c r="BZ145" s="124"/>
      <c r="CA145" s="124"/>
      <c r="CB145" s="124"/>
      <c r="CC145" s="124"/>
      <c r="CD145" s="124"/>
      <c r="CE145" s="124"/>
      <c r="CF145" s="124"/>
      <c r="CG145" s="124"/>
      <c r="CH145" s="124"/>
      <c r="CI145" s="124"/>
      <c r="CJ145" s="124"/>
      <c r="CK145" s="124"/>
      <c r="CL145" s="124"/>
      <c r="CM145" s="124"/>
      <c r="CN145" s="124"/>
      <c r="CO145" s="124"/>
      <c r="CP145" s="124"/>
      <c r="CQ145" s="124"/>
      <c r="CR145" s="124"/>
      <c r="CS145" s="124"/>
      <c r="CT145" s="124"/>
      <c r="CU145" s="124"/>
      <c r="CV145" s="125"/>
    </row>
    <row r="146" spans="1:100" ht="86.25" customHeight="1">
      <c r="A146" s="160"/>
      <c r="B146" s="174" t="s">
        <v>39</v>
      </c>
      <c r="C146" s="175" t="s">
        <v>219</v>
      </c>
      <c r="D146" s="160"/>
      <c r="E146" s="176">
        <v>-50</v>
      </c>
      <c r="F146" s="176" t="s">
        <v>2</v>
      </c>
      <c r="G146" s="176" t="s">
        <v>2</v>
      </c>
      <c r="H146" s="177" t="s">
        <v>2</v>
      </c>
      <c r="I146" s="176" t="s">
        <v>2</v>
      </c>
      <c r="J146" s="178" t="s">
        <v>2</v>
      </c>
      <c r="K146" s="176"/>
      <c r="L146" s="176" t="s">
        <v>2</v>
      </c>
      <c r="M146" s="176"/>
      <c r="N146" s="176">
        <v>150</v>
      </c>
      <c r="O146" s="176">
        <v>50</v>
      </c>
      <c r="P146" s="176">
        <v>50</v>
      </c>
      <c r="Q146" s="176">
        <v>50</v>
      </c>
      <c r="R146" s="176" t="s">
        <v>2</v>
      </c>
      <c r="S146" s="176" t="s">
        <v>2</v>
      </c>
      <c r="T146" s="160"/>
      <c r="U146" s="160"/>
      <c r="V146" s="160"/>
      <c r="W146" s="160"/>
      <c r="X146" s="160"/>
      <c r="Y146" s="179" t="s">
        <v>220</v>
      </c>
      <c r="Z146" s="180" t="s">
        <v>2</v>
      </c>
      <c r="AA146" s="180" t="s">
        <v>2</v>
      </c>
      <c r="AB146" s="166" t="e">
        <f>[5]APPLICATION!Z21</f>
        <v>#REF!</v>
      </c>
      <c r="AC146" s="166"/>
    </row>
    <row r="147" spans="1:100" ht="5.25" customHeight="1">
      <c r="A147" s="160"/>
      <c r="B147" s="160"/>
      <c r="C147" s="160"/>
      <c r="D147" s="160"/>
      <c r="E147" s="160"/>
      <c r="F147" s="160"/>
      <c r="G147" s="160"/>
      <c r="H147" s="181" t="s">
        <v>2</v>
      </c>
      <c r="I147" s="160"/>
      <c r="J147" s="181" t="s">
        <v>2</v>
      </c>
      <c r="K147" s="160"/>
      <c r="L147" s="160" t="s">
        <v>2</v>
      </c>
      <c r="M147" s="160"/>
      <c r="N147" s="160"/>
      <c r="O147" s="160"/>
      <c r="P147" s="160"/>
      <c r="Q147" s="160"/>
      <c r="R147" s="160"/>
      <c r="S147" s="160"/>
      <c r="T147" s="160"/>
      <c r="U147" s="160"/>
      <c r="V147" s="160"/>
      <c r="W147" s="160"/>
      <c r="X147" s="160"/>
      <c r="Y147" s="160"/>
      <c r="Z147" s="160"/>
      <c r="AA147" s="160"/>
      <c r="AB147" s="160"/>
      <c r="AC147" s="160"/>
    </row>
    <row r="148" spans="1:100" ht="15" customHeight="1">
      <c r="A148" s="160"/>
      <c r="B148" s="182">
        <v>1</v>
      </c>
      <c r="C148" s="183">
        <f t="shared" ref="C148:C172" si="22">U23</f>
        <v>4.9999999999999982E-2</v>
      </c>
      <c r="D148" s="160">
        <f t="shared" ref="D148:D172" si="23">IF(C23&gt;0,1,0)</f>
        <v>0</v>
      </c>
      <c r="E148" s="184">
        <f>IF(P49&gt;1499000,50,0)</f>
        <v>0</v>
      </c>
      <c r="F148" s="184"/>
      <c r="G148" s="184"/>
      <c r="H148" s="185"/>
      <c r="I148" s="184"/>
      <c r="J148" s="160"/>
      <c r="K148" s="160"/>
      <c r="L148" s="160">
        <f>SUM(E148:J148)</f>
        <v>0</v>
      </c>
      <c r="M148" s="160"/>
      <c r="N148" s="184">
        <v>150</v>
      </c>
      <c r="O148" s="184">
        <f t="shared" ref="O148:O172" si="24">IF(P23&gt;250000,50,0)</f>
        <v>0</v>
      </c>
      <c r="P148" s="160">
        <f>IF(N15&gt;0,50,0)</f>
        <v>0</v>
      </c>
      <c r="Q148" s="184">
        <f t="shared" ref="Q148:Q172" si="25">IF(AD23/P23&gt;0.1,50,0)</f>
        <v>0</v>
      </c>
      <c r="R148" s="160"/>
      <c r="S148" s="160"/>
      <c r="T148" s="160"/>
      <c r="U148" s="160">
        <f>SUM(N148:S148)</f>
        <v>150</v>
      </c>
      <c r="V148" s="160"/>
      <c r="W148" s="160">
        <f>L148+U148</f>
        <v>150</v>
      </c>
      <c r="X148" s="160"/>
      <c r="Y148" s="183">
        <f>C148*W148/100</f>
        <v>7.4999999999999969E-2</v>
      </c>
      <c r="Z148" s="183"/>
      <c r="AA148" s="183"/>
      <c r="AB148" s="167">
        <f>[5]APPLICATION!AC21*Z23/100/2</f>
        <v>0</v>
      </c>
      <c r="AC148" s="167"/>
      <c r="AD148" s="135">
        <f>IF(G23="DELIMBER",#REF!,0)</f>
        <v>0</v>
      </c>
      <c r="AE148" s="136">
        <f>IF(G23="FELLERBUNCHER",#REF!,0)</f>
        <v>0</v>
      </c>
      <c r="AF148" s="135">
        <f t="shared" ref="AF148:AF172" si="26">IF(G23="PROCESSOR",$N$142,0)</f>
        <v>0</v>
      </c>
      <c r="AG148" s="135">
        <f>IF(G23="SLASHER",#REF!,0)</f>
        <v>0</v>
      </c>
      <c r="AH148" s="135">
        <f>IF(G23="SKIDDER",#REF!,0)</f>
        <v>0</v>
      </c>
      <c r="AI148" s="135">
        <f t="shared" ref="AI148:AI172" si="27">IF(G23="FORWARDER",$H$142,0)</f>
        <v>0</v>
      </c>
      <c r="AJ148" s="135">
        <f>IF(G23="LOG LOADER",#REF!,0)</f>
        <v>0</v>
      </c>
      <c r="AK148" s="135">
        <f>IF(W23="Y",#REF!,0)</f>
        <v>0</v>
      </c>
      <c r="AL148" s="135" t="s">
        <v>2</v>
      </c>
      <c r="AM148" s="135">
        <f>SUM(AD148:AL148)</f>
        <v>0</v>
      </c>
      <c r="AO148" s="135">
        <f t="shared" ref="AO148:AO172" si="28">IF(G23="DELIMBER",3.25,0)</f>
        <v>0</v>
      </c>
      <c r="AP148" s="135">
        <f t="shared" ref="AP148:AP172" si="29">IF(G23="FELLERBUNCHER",3.25,0)</f>
        <v>0</v>
      </c>
      <c r="AQ148" s="135">
        <f t="shared" ref="AQ148:AQ172" si="30">IF(G23="PROCESSOR",3.25,0)</f>
        <v>0</v>
      </c>
      <c r="AR148" s="135">
        <f t="shared" ref="AR148:AR172" si="31">IF(G23="SLASHER",2.95,0)</f>
        <v>0</v>
      </c>
      <c r="AS148" s="135">
        <f t="shared" ref="AS148:AS172" si="32">IF(G23="SKIDDER",2.3,0)</f>
        <v>0</v>
      </c>
      <c r="AT148" s="135">
        <f t="shared" ref="AT148:AT172" si="33">IF(G23="FORWARDER",2.3,0)</f>
        <v>0</v>
      </c>
      <c r="AU148" s="135">
        <f t="shared" ref="AU148:AU172" si="34">IF(G23="LOG LOADER",2.3,0)</f>
        <v>0</v>
      </c>
      <c r="AV148" s="135">
        <f t="shared" ref="AV148:AV172" si="35">IF(W23="Y",1.5,0)</f>
        <v>0</v>
      </c>
      <c r="AX148" s="131">
        <f>SUM(AO148:AW148)</f>
        <v>0</v>
      </c>
    </row>
    <row r="149" spans="1:100" ht="15" customHeight="1">
      <c r="A149" s="160"/>
      <c r="B149" s="182">
        <v>1</v>
      </c>
      <c r="C149" s="183">
        <f t="shared" si="22"/>
        <v>4.9999999999999982E-2</v>
      </c>
      <c r="D149" s="160">
        <f t="shared" si="23"/>
        <v>0</v>
      </c>
      <c r="E149" s="184">
        <f>IF(P50&gt;1499000,50,0)</f>
        <v>0</v>
      </c>
      <c r="F149" s="184"/>
      <c r="G149" s="184"/>
      <c r="H149" s="185"/>
      <c r="I149" s="184"/>
      <c r="J149" s="160"/>
      <c r="K149" s="160"/>
      <c r="L149" s="160">
        <f t="shared" ref="L149:L172" si="36">SUM(E149:J149)</f>
        <v>0</v>
      </c>
      <c r="M149" s="160"/>
      <c r="N149" s="184">
        <v>150</v>
      </c>
      <c r="O149" s="184">
        <f t="shared" si="24"/>
        <v>0</v>
      </c>
      <c r="P149" s="160">
        <f>IF(N16&gt;0,50,0)</f>
        <v>0</v>
      </c>
      <c r="Q149" s="184">
        <f t="shared" si="25"/>
        <v>0</v>
      </c>
      <c r="R149" s="160"/>
      <c r="S149" s="160"/>
      <c r="T149" s="160"/>
      <c r="U149" s="160">
        <f t="shared" ref="U149:U172" si="37">SUM(N149:S149)</f>
        <v>150</v>
      </c>
      <c r="V149" s="160"/>
      <c r="W149" s="160">
        <f t="shared" ref="W149:W172" si="38">L149+U149</f>
        <v>150</v>
      </c>
      <c r="X149" s="160"/>
      <c r="Y149" s="183">
        <f t="shared" ref="Y149:Y172" si="39">C149*W149/100</f>
        <v>7.4999999999999969E-2</v>
      </c>
      <c r="Z149" s="183"/>
      <c r="AA149" s="183"/>
      <c r="AB149" s="167">
        <f>[5]APPLICATION!AC22*Z24/100/2</f>
        <v>0</v>
      </c>
      <c r="AC149" s="167"/>
      <c r="AD149" s="135">
        <f>IF(G24="DELIMBER",#REF!,0)</f>
        <v>0</v>
      </c>
      <c r="AE149" s="136">
        <f>IF(G24="FELLERBUNCHER",#REF!,0)</f>
        <v>0</v>
      </c>
      <c r="AF149" s="135">
        <f t="shared" si="26"/>
        <v>0</v>
      </c>
      <c r="AG149" s="135">
        <f>IF(G24="SLASHER",#REF!,0)</f>
        <v>0</v>
      </c>
      <c r="AH149" s="135">
        <f>IF(G24="SKIDDER",#REF!,0)</f>
        <v>0</v>
      </c>
      <c r="AI149" s="135">
        <f t="shared" si="27"/>
        <v>0</v>
      </c>
      <c r="AJ149" s="135">
        <f>IF(G24="LOG LOADER",#REF!,0)</f>
        <v>0</v>
      </c>
      <c r="AK149" s="135">
        <f>IF(W24="Y",#REF!,0)</f>
        <v>0</v>
      </c>
      <c r="AL149" s="135" t="s">
        <v>2</v>
      </c>
      <c r="AM149" s="135">
        <f t="shared" ref="AM149:AM172" si="40">SUM(AD149:AL149)</f>
        <v>0</v>
      </c>
      <c r="AO149" s="135">
        <f t="shared" si="28"/>
        <v>0</v>
      </c>
      <c r="AP149" s="135">
        <f t="shared" si="29"/>
        <v>0</v>
      </c>
      <c r="AQ149" s="135">
        <f t="shared" si="30"/>
        <v>0</v>
      </c>
      <c r="AR149" s="135">
        <f t="shared" si="31"/>
        <v>0</v>
      </c>
      <c r="AS149" s="135">
        <f t="shared" si="32"/>
        <v>0</v>
      </c>
      <c r="AT149" s="135">
        <f t="shared" si="33"/>
        <v>0</v>
      </c>
      <c r="AU149" s="135">
        <f t="shared" si="34"/>
        <v>0</v>
      </c>
      <c r="AV149" s="135">
        <f t="shared" si="35"/>
        <v>0</v>
      </c>
      <c r="AX149" s="131">
        <f t="shared" ref="AX149:AX172" si="41">SUM(AO149:AW149)</f>
        <v>0</v>
      </c>
    </row>
    <row r="150" spans="1:100" ht="15" customHeight="1">
      <c r="A150" s="160"/>
      <c r="B150" s="182">
        <v>1</v>
      </c>
      <c r="C150" s="183">
        <f t="shared" si="22"/>
        <v>4.9999999999999982E-2</v>
      </c>
      <c r="D150" s="160">
        <f t="shared" si="23"/>
        <v>0</v>
      </c>
      <c r="E150" s="184">
        <f>IF(P51&gt;1499000,50,0)</f>
        <v>0</v>
      </c>
      <c r="F150" s="184"/>
      <c r="G150" s="184"/>
      <c r="H150" s="185"/>
      <c r="I150" s="184"/>
      <c r="J150" s="160"/>
      <c r="K150" s="160"/>
      <c r="L150" s="160">
        <f t="shared" si="36"/>
        <v>0</v>
      </c>
      <c r="M150" s="160"/>
      <c r="N150" s="184">
        <v>150</v>
      </c>
      <c r="O150" s="184">
        <f t="shared" si="24"/>
        <v>0</v>
      </c>
      <c r="P150" s="160">
        <f>IF(N17&gt;0,50,0)</f>
        <v>50</v>
      </c>
      <c r="Q150" s="184">
        <f t="shared" si="25"/>
        <v>0</v>
      </c>
      <c r="R150" s="160"/>
      <c r="S150" s="160"/>
      <c r="T150" s="160"/>
      <c r="U150" s="160">
        <f t="shared" si="37"/>
        <v>200</v>
      </c>
      <c r="V150" s="160"/>
      <c r="W150" s="160">
        <f t="shared" si="38"/>
        <v>200</v>
      </c>
      <c r="X150" s="160"/>
      <c r="Y150" s="183">
        <f t="shared" si="39"/>
        <v>9.9999999999999964E-2</v>
      </c>
      <c r="Z150" s="183"/>
      <c r="AA150" s="183"/>
      <c r="AB150" s="167">
        <f>[5]APPLICATION!AC23*Z25/100/2</f>
        <v>0</v>
      </c>
      <c r="AC150" s="167"/>
      <c r="AD150" s="135">
        <f>IF(G25="DELIMBER",#REF!,0)</f>
        <v>0</v>
      </c>
      <c r="AE150" s="136">
        <f>IF(G25="FELLERBUNCHER",#REF!,0)</f>
        <v>0</v>
      </c>
      <c r="AF150" s="135">
        <f t="shared" si="26"/>
        <v>0</v>
      </c>
      <c r="AG150" s="135">
        <f>IF(G25="SLASHER",#REF!,0)</f>
        <v>0</v>
      </c>
      <c r="AH150" s="135">
        <f>IF(G25="SKIDDER",#REF!,0)</f>
        <v>0</v>
      </c>
      <c r="AI150" s="135">
        <f t="shared" si="27"/>
        <v>0</v>
      </c>
      <c r="AJ150" s="135">
        <f>IF(G25="LOG LOADER",#REF!,0)</f>
        <v>0</v>
      </c>
      <c r="AK150" s="135">
        <f>IF(W25="Y",#REF!,0)</f>
        <v>0</v>
      </c>
      <c r="AL150" s="135" t="s">
        <v>2</v>
      </c>
      <c r="AM150" s="135">
        <f t="shared" si="40"/>
        <v>0</v>
      </c>
      <c r="AO150" s="135">
        <f t="shared" si="28"/>
        <v>0</v>
      </c>
      <c r="AP150" s="135">
        <f t="shared" si="29"/>
        <v>0</v>
      </c>
      <c r="AQ150" s="135">
        <f t="shared" si="30"/>
        <v>0</v>
      </c>
      <c r="AR150" s="135">
        <f t="shared" si="31"/>
        <v>0</v>
      </c>
      <c r="AS150" s="135">
        <f t="shared" si="32"/>
        <v>0</v>
      </c>
      <c r="AT150" s="135">
        <f t="shared" si="33"/>
        <v>0</v>
      </c>
      <c r="AU150" s="135">
        <f t="shared" si="34"/>
        <v>0</v>
      </c>
      <c r="AV150" s="135">
        <f t="shared" si="35"/>
        <v>0</v>
      </c>
      <c r="AX150" s="131">
        <f t="shared" si="41"/>
        <v>0</v>
      </c>
    </row>
    <row r="151" spans="1:100" ht="15" customHeight="1">
      <c r="A151" s="160"/>
      <c r="B151" s="182">
        <v>1</v>
      </c>
      <c r="C151" s="183">
        <f t="shared" si="22"/>
        <v>4.9999999999999982E-2</v>
      </c>
      <c r="D151" s="160">
        <f t="shared" si="23"/>
        <v>0</v>
      </c>
      <c r="E151" s="184">
        <f>IF(P52&gt;1499000,50,0)</f>
        <v>0</v>
      </c>
      <c r="F151" s="184"/>
      <c r="G151" s="184"/>
      <c r="H151" s="185"/>
      <c r="I151" s="184"/>
      <c r="J151" s="160"/>
      <c r="K151" s="160"/>
      <c r="L151" s="160">
        <f t="shared" si="36"/>
        <v>0</v>
      </c>
      <c r="M151" s="160"/>
      <c r="N151" s="184">
        <v>150</v>
      </c>
      <c r="O151" s="184">
        <f t="shared" si="24"/>
        <v>0</v>
      </c>
      <c r="P151" s="160">
        <f>IF(N18&gt;0,50,0)</f>
        <v>50</v>
      </c>
      <c r="Q151" s="184">
        <f t="shared" si="25"/>
        <v>0</v>
      </c>
      <c r="R151" s="160"/>
      <c r="S151" s="160"/>
      <c r="T151" s="160"/>
      <c r="U151" s="160">
        <f t="shared" si="37"/>
        <v>200</v>
      </c>
      <c r="V151" s="160"/>
      <c r="W151" s="160">
        <f t="shared" si="38"/>
        <v>200</v>
      </c>
      <c r="X151" s="160"/>
      <c r="Y151" s="183">
        <f t="shared" si="39"/>
        <v>9.9999999999999964E-2</v>
      </c>
      <c r="Z151" s="183"/>
      <c r="AA151" s="183"/>
      <c r="AB151" s="167">
        <f>[5]APPLICATION!AC24*Z26/100/2</f>
        <v>0</v>
      </c>
      <c r="AC151" s="167"/>
      <c r="AD151" s="135">
        <f>IF(G26="DELIMBER",#REF!,0)</f>
        <v>0</v>
      </c>
      <c r="AE151" s="136">
        <f>IF(G26="FELLERBUNCHER",#REF!,0)</f>
        <v>0</v>
      </c>
      <c r="AF151" s="135">
        <f t="shared" si="26"/>
        <v>0</v>
      </c>
      <c r="AG151" s="135">
        <f>IF(G26="SLASHER",#REF!,0)</f>
        <v>0</v>
      </c>
      <c r="AH151" s="135">
        <f>IF(G26="SKIDDER",#REF!,0)</f>
        <v>0</v>
      </c>
      <c r="AI151" s="135">
        <f t="shared" si="27"/>
        <v>0</v>
      </c>
      <c r="AJ151" s="135">
        <f>IF(G26="LOG LOADER",#REF!,0)</f>
        <v>0</v>
      </c>
      <c r="AK151" s="135">
        <f>IF(W26="Y",#REF!,0)</f>
        <v>0</v>
      </c>
      <c r="AL151" s="135" t="s">
        <v>2</v>
      </c>
      <c r="AM151" s="135">
        <f t="shared" si="40"/>
        <v>0</v>
      </c>
      <c r="AO151" s="135">
        <f t="shared" si="28"/>
        <v>0</v>
      </c>
      <c r="AP151" s="135">
        <f t="shared" si="29"/>
        <v>0</v>
      </c>
      <c r="AQ151" s="135">
        <f t="shared" si="30"/>
        <v>0</v>
      </c>
      <c r="AR151" s="135">
        <f t="shared" si="31"/>
        <v>0</v>
      </c>
      <c r="AS151" s="135">
        <f t="shared" si="32"/>
        <v>0</v>
      </c>
      <c r="AT151" s="135">
        <f t="shared" si="33"/>
        <v>0</v>
      </c>
      <c r="AU151" s="135">
        <f t="shared" si="34"/>
        <v>0</v>
      </c>
      <c r="AV151" s="135">
        <f t="shared" si="35"/>
        <v>0</v>
      </c>
      <c r="AX151" s="131">
        <f t="shared" si="41"/>
        <v>0</v>
      </c>
    </row>
    <row r="152" spans="1:100" ht="15" customHeight="1">
      <c r="A152" s="160"/>
      <c r="B152" s="182">
        <v>1</v>
      </c>
      <c r="C152" s="183">
        <f t="shared" si="22"/>
        <v>4.9999999999999982E-2</v>
      </c>
      <c r="D152" s="160">
        <f t="shared" si="23"/>
        <v>0</v>
      </c>
      <c r="E152" s="184">
        <f t="shared" ref="E152:E172" si="42">IF(P138&gt;1499000,50,0)</f>
        <v>0</v>
      </c>
      <c r="F152" s="184"/>
      <c r="G152" s="184"/>
      <c r="H152" s="185"/>
      <c r="I152" s="184"/>
      <c r="J152" s="160"/>
      <c r="K152" s="160"/>
      <c r="L152" s="160">
        <f t="shared" si="36"/>
        <v>0</v>
      </c>
      <c r="M152" s="160"/>
      <c r="N152" s="184">
        <v>150</v>
      </c>
      <c r="O152" s="184">
        <f t="shared" si="24"/>
        <v>0</v>
      </c>
      <c r="P152" s="160">
        <f t="shared" ref="P152:P172" si="43">IF(N20&gt;0,50,0)</f>
        <v>0</v>
      </c>
      <c r="Q152" s="184">
        <f t="shared" si="25"/>
        <v>0</v>
      </c>
      <c r="R152" s="160"/>
      <c r="S152" s="160"/>
      <c r="T152" s="160"/>
      <c r="U152" s="160">
        <f t="shared" si="37"/>
        <v>150</v>
      </c>
      <c r="V152" s="160"/>
      <c r="W152" s="160">
        <f t="shared" si="38"/>
        <v>150</v>
      </c>
      <c r="X152" s="160"/>
      <c r="Y152" s="183">
        <f t="shared" si="39"/>
        <v>7.4999999999999969E-2</v>
      </c>
      <c r="Z152" s="183"/>
      <c r="AA152" s="183"/>
      <c r="AB152" s="167">
        <f>[5]APPLICATION!AC25*Z27/100/2</f>
        <v>0</v>
      </c>
      <c r="AC152" s="167"/>
      <c r="AD152" s="135">
        <f>IF(G27="DELIMBER",#REF!,0)</f>
        <v>0</v>
      </c>
      <c r="AE152" s="136">
        <f>IF(G27="FELLERBUNCHER",#REF!,0)</f>
        <v>0</v>
      </c>
      <c r="AF152" s="135">
        <f t="shared" si="26"/>
        <v>0</v>
      </c>
      <c r="AG152" s="135">
        <f>IF(G27="SLASHER",#REF!,0)</f>
        <v>0</v>
      </c>
      <c r="AH152" s="135">
        <f>IF(G27="SKIDDER",#REF!,0)</f>
        <v>0</v>
      </c>
      <c r="AI152" s="135">
        <f t="shared" si="27"/>
        <v>0</v>
      </c>
      <c r="AJ152" s="135">
        <f>IF(G27="LOG LOADER",#REF!,0)</f>
        <v>0</v>
      </c>
      <c r="AK152" s="135">
        <f>IF(W27="Y",#REF!,0)</f>
        <v>0</v>
      </c>
      <c r="AL152" s="135" t="s">
        <v>2</v>
      </c>
      <c r="AM152" s="135">
        <f t="shared" si="40"/>
        <v>0</v>
      </c>
      <c r="AO152" s="135">
        <f t="shared" si="28"/>
        <v>0</v>
      </c>
      <c r="AP152" s="135">
        <f t="shared" si="29"/>
        <v>0</v>
      </c>
      <c r="AQ152" s="135">
        <f t="shared" si="30"/>
        <v>0</v>
      </c>
      <c r="AR152" s="135">
        <f t="shared" si="31"/>
        <v>0</v>
      </c>
      <c r="AS152" s="135">
        <f t="shared" si="32"/>
        <v>0</v>
      </c>
      <c r="AT152" s="135">
        <f t="shared" si="33"/>
        <v>0</v>
      </c>
      <c r="AU152" s="135">
        <f t="shared" si="34"/>
        <v>0</v>
      </c>
      <c r="AV152" s="135">
        <f t="shared" si="35"/>
        <v>0</v>
      </c>
      <c r="AX152" s="131">
        <f t="shared" si="41"/>
        <v>0</v>
      </c>
    </row>
    <row r="153" spans="1:100" ht="15" customHeight="1">
      <c r="A153" s="160"/>
      <c r="B153" s="182">
        <v>1</v>
      </c>
      <c r="C153" s="183">
        <f t="shared" si="22"/>
        <v>4.9999999999999982E-2</v>
      </c>
      <c r="D153" s="160">
        <f t="shared" si="23"/>
        <v>0</v>
      </c>
      <c r="E153" s="184">
        <f t="shared" si="42"/>
        <v>0</v>
      </c>
      <c r="F153" s="184"/>
      <c r="G153" s="184"/>
      <c r="H153" s="185"/>
      <c r="I153" s="184"/>
      <c r="J153" s="160"/>
      <c r="K153" s="160"/>
      <c r="L153" s="160">
        <f t="shared" si="36"/>
        <v>0</v>
      </c>
      <c r="M153" s="160"/>
      <c r="N153" s="184">
        <v>150</v>
      </c>
      <c r="O153" s="184">
        <f t="shared" si="24"/>
        <v>0</v>
      </c>
      <c r="P153" s="160">
        <f t="shared" si="43"/>
        <v>0</v>
      </c>
      <c r="Q153" s="184">
        <f t="shared" si="25"/>
        <v>0</v>
      </c>
      <c r="R153" s="160"/>
      <c r="S153" s="160"/>
      <c r="T153" s="160"/>
      <c r="U153" s="160">
        <f t="shared" si="37"/>
        <v>150</v>
      </c>
      <c r="V153" s="160"/>
      <c r="W153" s="160">
        <f t="shared" si="38"/>
        <v>150</v>
      </c>
      <c r="X153" s="160"/>
      <c r="Y153" s="183">
        <f t="shared" si="39"/>
        <v>7.4999999999999969E-2</v>
      </c>
      <c r="Z153" s="183"/>
      <c r="AA153" s="183"/>
      <c r="AB153" s="167">
        <f>[5]APPLICATION!AC26*Z28/100/2</f>
        <v>0</v>
      </c>
      <c r="AC153" s="167"/>
      <c r="AD153" s="135">
        <f>IF(G28="DELIMBER",#REF!,0)</f>
        <v>0</v>
      </c>
      <c r="AE153" s="136">
        <f>IF(G28="FELLERBUNCHER",#REF!,0)</f>
        <v>0</v>
      </c>
      <c r="AF153" s="135">
        <f t="shared" si="26"/>
        <v>0</v>
      </c>
      <c r="AG153" s="135">
        <f>IF(G28="SLASHER",#REF!,0)</f>
        <v>0</v>
      </c>
      <c r="AH153" s="135">
        <f>IF(G28="SKIDDER",#REF!,0)</f>
        <v>0</v>
      </c>
      <c r="AI153" s="135">
        <f t="shared" si="27"/>
        <v>0</v>
      </c>
      <c r="AJ153" s="135">
        <f>IF(G28="LOG LOADER",#REF!,0)</f>
        <v>0</v>
      </c>
      <c r="AK153" s="135">
        <f>IF(W28="Y",#REF!,0)</f>
        <v>0</v>
      </c>
      <c r="AL153" s="135" t="s">
        <v>2</v>
      </c>
      <c r="AM153" s="135">
        <f t="shared" si="40"/>
        <v>0</v>
      </c>
      <c r="AO153" s="135">
        <f t="shared" si="28"/>
        <v>0</v>
      </c>
      <c r="AP153" s="135">
        <f t="shared" si="29"/>
        <v>0</v>
      </c>
      <c r="AQ153" s="135">
        <f t="shared" si="30"/>
        <v>0</v>
      </c>
      <c r="AR153" s="135">
        <f t="shared" si="31"/>
        <v>0</v>
      </c>
      <c r="AS153" s="135">
        <f t="shared" si="32"/>
        <v>0</v>
      </c>
      <c r="AT153" s="135">
        <f t="shared" si="33"/>
        <v>0</v>
      </c>
      <c r="AU153" s="135">
        <f t="shared" si="34"/>
        <v>0</v>
      </c>
      <c r="AV153" s="135">
        <f t="shared" si="35"/>
        <v>0</v>
      </c>
      <c r="AX153" s="131">
        <f t="shared" si="41"/>
        <v>0</v>
      </c>
    </row>
    <row r="154" spans="1:100" ht="15" customHeight="1">
      <c r="A154" s="160"/>
      <c r="B154" s="182">
        <v>1</v>
      </c>
      <c r="C154" s="183">
        <f t="shared" si="22"/>
        <v>4.9999999999999982E-2</v>
      </c>
      <c r="D154" s="160">
        <f t="shared" si="23"/>
        <v>0</v>
      </c>
      <c r="E154" s="184">
        <f t="shared" si="42"/>
        <v>0</v>
      </c>
      <c r="F154" s="184"/>
      <c r="G154" s="184"/>
      <c r="H154" s="185"/>
      <c r="I154" s="184"/>
      <c r="J154" s="160"/>
      <c r="K154" s="160"/>
      <c r="L154" s="160">
        <f t="shared" si="36"/>
        <v>0</v>
      </c>
      <c r="M154" s="160"/>
      <c r="N154" s="184">
        <v>150</v>
      </c>
      <c r="O154" s="184">
        <f t="shared" si="24"/>
        <v>0</v>
      </c>
      <c r="P154" s="160">
        <f t="shared" si="43"/>
        <v>50</v>
      </c>
      <c r="Q154" s="184">
        <f t="shared" si="25"/>
        <v>0</v>
      </c>
      <c r="R154" s="160"/>
      <c r="S154" s="160"/>
      <c r="T154" s="160"/>
      <c r="U154" s="160">
        <f t="shared" si="37"/>
        <v>200</v>
      </c>
      <c r="V154" s="160"/>
      <c r="W154" s="160">
        <f t="shared" si="38"/>
        <v>200</v>
      </c>
      <c r="X154" s="160"/>
      <c r="Y154" s="183">
        <f t="shared" si="39"/>
        <v>9.9999999999999964E-2</v>
      </c>
      <c r="Z154" s="183"/>
      <c r="AA154" s="183"/>
      <c r="AB154" s="167">
        <f>[5]APPLICATION!AC27*Z29/100/2</f>
        <v>0</v>
      </c>
      <c r="AC154" s="167"/>
      <c r="AD154" s="135">
        <f>IF(G29="DELIMBER",#REF!,0)</f>
        <v>0</v>
      </c>
      <c r="AE154" s="136">
        <f>IF(G29="FELLERBUNCHER",#REF!,0)</f>
        <v>0</v>
      </c>
      <c r="AF154" s="135">
        <f t="shared" si="26"/>
        <v>0</v>
      </c>
      <c r="AG154" s="135">
        <f>IF(G29="SLASHER",#REF!,0)</f>
        <v>0</v>
      </c>
      <c r="AH154" s="135">
        <f>IF(G29="SKIDDER",#REF!,0)</f>
        <v>0</v>
      </c>
      <c r="AI154" s="135">
        <f t="shared" si="27"/>
        <v>0</v>
      </c>
      <c r="AJ154" s="135">
        <f>IF(G29="LOG LOADER",#REF!,0)</f>
        <v>0</v>
      </c>
      <c r="AK154" s="135">
        <f>IF(W29="Y",#REF!,0)</f>
        <v>0</v>
      </c>
      <c r="AL154" s="135" t="s">
        <v>2</v>
      </c>
      <c r="AM154" s="135">
        <f t="shared" si="40"/>
        <v>0</v>
      </c>
      <c r="AO154" s="135">
        <f t="shared" si="28"/>
        <v>0</v>
      </c>
      <c r="AP154" s="135">
        <f t="shared" si="29"/>
        <v>0</v>
      </c>
      <c r="AQ154" s="135">
        <f t="shared" si="30"/>
        <v>0</v>
      </c>
      <c r="AR154" s="135">
        <f t="shared" si="31"/>
        <v>0</v>
      </c>
      <c r="AS154" s="135">
        <f t="shared" si="32"/>
        <v>0</v>
      </c>
      <c r="AT154" s="135">
        <f t="shared" si="33"/>
        <v>0</v>
      </c>
      <c r="AU154" s="135">
        <f t="shared" si="34"/>
        <v>0</v>
      </c>
      <c r="AV154" s="135">
        <f t="shared" si="35"/>
        <v>0</v>
      </c>
      <c r="AX154" s="131">
        <f t="shared" si="41"/>
        <v>0</v>
      </c>
    </row>
    <row r="155" spans="1:100" ht="15" customHeight="1">
      <c r="A155" s="160"/>
      <c r="B155" s="182">
        <v>1</v>
      </c>
      <c r="C155" s="183">
        <f t="shared" si="22"/>
        <v>4.9999999999999982E-2</v>
      </c>
      <c r="D155" s="160">
        <f t="shared" si="23"/>
        <v>0</v>
      </c>
      <c r="E155" s="184">
        <f t="shared" si="42"/>
        <v>0</v>
      </c>
      <c r="F155" s="184"/>
      <c r="G155" s="184"/>
      <c r="H155" s="185"/>
      <c r="I155" s="184"/>
      <c r="J155" s="160"/>
      <c r="K155" s="160"/>
      <c r="L155" s="160">
        <f t="shared" si="36"/>
        <v>0</v>
      </c>
      <c r="M155" s="160"/>
      <c r="N155" s="184">
        <v>150</v>
      </c>
      <c r="O155" s="184">
        <f t="shared" si="24"/>
        <v>0</v>
      </c>
      <c r="P155" s="160">
        <f t="shared" si="43"/>
        <v>0</v>
      </c>
      <c r="Q155" s="184">
        <f t="shared" si="25"/>
        <v>0</v>
      </c>
      <c r="R155" s="160"/>
      <c r="S155" s="160"/>
      <c r="T155" s="160"/>
      <c r="U155" s="160">
        <f t="shared" si="37"/>
        <v>150</v>
      </c>
      <c r="V155" s="160"/>
      <c r="W155" s="160">
        <f t="shared" si="38"/>
        <v>150</v>
      </c>
      <c r="X155" s="160"/>
      <c r="Y155" s="183">
        <f t="shared" si="39"/>
        <v>7.4999999999999969E-2</v>
      </c>
      <c r="Z155" s="183"/>
      <c r="AA155" s="183"/>
      <c r="AB155" s="167">
        <f>[5]APPLICATION!AC28*Z30/100/2</f>
        <v>0</v>
      </c>
      <c r="AC155" s="167"/>
      <c r="AD155" s="135">
        <f>IF(G30="DELIMBER",#REF!,0)</f>
        <v>0</v>
      </c>
      <c r="AE155" s="136">
        <f>IF(G30="FELLERBUNCHER",#REF!,0)</f>
        <v>0</v>
      </c>
      <c r="AF155" s="135">
        <f t="shared" si="26"/>
        <v>0</v>
      </c>
      <c r="AG155" s="135">
        <f>IF(G30="SLASHER",#REF!,0)</f>
        <v>0</v>
      </c>
      <c r="AH155" s="135">
        <f>IF(G30="SKIDDER",#REF!,0)</f>
        <v>0</v>
      </c>
      <c r="AI155" s="135">
        <f t="shared" si="27"/>
        <v>0</v>
      </c>
      <c r="AJ155" s="135">
        <f>IF(G30="LOG LOADER",#REF!,0)</f>
        <v>0</v>
      </c>
      <c r="AK155" s="135">
        <f>IF(W30="Y",#REF!,0)</f>
        <v>0</v>
      </c>
      <c r="AL155" s="135" t="s">
        <v>2</v>
      </c>
      <c r="AM155" s="135">
        <f t="shared" si="40"/>
        <v>0</v>
      </c>
      <c r="AO155" s="135">
        <f t="shared" si="28"/>
        <v>0</v>
      </c>
      <c r="AP155" s="135">
        <f t="shared" si="29"/>
        <v>0</v>
      </c>
      <c r="AQ155" s="135">
        <f t="shared" si="30"/>
        <v>0</v>
      </c>
      <c r="AR155" s="135">
        <f t="shared" si="31"/>
        <v>0</v>
      </c>
      <c r="AS155" s="135">
        <f t="shared" si="32"/>
        <v>0</v>
      </c>
      <c r="AT155" s="135">
        <f t="shared" si="33"/>
        <v>0</v>
      </c>
      <c r="AU155" s="135">
        <f t="shared" si="34"/>
        <v>0</v>
      </c>
      <c r="AV155" s="135">
        <f t="shared" si="35"/>
        <v>0</v>
      </c>
      <c r="AX155" s="131">
        <f t="shared" si="41"/>
        <v>0</v>
      </c>
    </row>
    <row r="156" spans="1:100" ht="15" customHeight="1">
      <c r="A156" s="160"/>
      <c r="B156" s="182">
        <v>1</v>
      </c>
      <c r="C156" s="183">
        <f t="shared" si="22"/>
        <v>4.9999999999999982E-2</v>
      </c>
      <c r="D156" s="160">
        <f t="shared" si="23"/>
        <v>0</v>
      </c>
      <c r="E156" s="184">
        <f t="shared" si="42"/>
        <v>0</v>
      </c>
      <c r="F156" s="184"/>
      <c r="G156" s="184"/>
      <c r="H156" s="185"/>
      <c r="I156" s="184"/>
      <c r="J156" s="160"/>
      <c r="K156" s="160"/>
      <c r="L156" s="160">
        <f t="shared" si="36"/>
        <v>0</v>
      </c>
      <c r="M156" s="160"/>
      <c r="N156" s="184">
        <v>150</v>
      </c>
      <c r="O156" s="184">
        <f t="shared" si="24"/>
        <v>0</v>
      </c>
      <c r="P156" s="160">
        <f t="shared" si="43"/>
        <v>0</v>
      </c>
      <c r="Q156" s="184">
        <f t="shared" si="25"/>
        <v>0</v>
      </c>
      <c r="R156" s="160"/>
      <c r="S156" s="160"/>
      <c r="T156" s="160"/>
      <c r="U156" s="160">
        <f t="shared" si="37"/>
        <v>150</v>
      </c>
      <c r="V156" s="160"/>
      <c r="W156" s="160">
        <f t="shared" si="38"/>
        <v>150</v>
      </c>
      <c r="X156" s="160"/>
      <c r="Y156" s="183">
        <f t="shared" si="39"/>
        <v>7.4999999999999969E-2</v>
      </c>
      <c r="Z156" s="183"/>
      <c r="AA156" s="183"/>
      <c r="AB156" s="167">
        <f>[5]APPLICATION!AC29*Z31/100/2</f>
        <v>0</v>
      </c>
      <c r="AC156" s="167"/>
      <c r="AD156" s="135">
        <f>IF(G31="DELIMBER",#REF!,0)</f>
        <v>0</v>
      </c>
      <c r="AE156" s="136">
        <f>IF(G31="FELLERBUNCHER",#REF!,0)</f>
        <v>0</v>
      </c>
      <c r="AF156" s="135">
        <f t="shared" si="26"/>
        <v>0</v>
      </c>
      <c r="AG156" s="135">
        <f>IF(G31="SLASHER",#REF!,0)</f>
        <v>0</v>
      </c>
      <c r="AH156" s="135">
        <f>IF(G31="SKIDDER",#REF!,0)</f>
        <v>0</v>
      </c>
      <c r="AI156" s="135">
        <f t="shared" si="27"/>
        <v>0</v>
      </c>
      <c r="AJ156" s="135">
        <f>IF(G31="LOG LOADER",#REF!,0)</f>
        <v>0</v>
      </c>
      <c r="AK156" s="135">
        <f>IF(W31="Y",#REF!,0)</f>
        <v>0</v>
      </c>
      <c r="AL156" s="135" t="s">
        <v>2</v>
      </c>
      <c r="AM156" s="135">
        <f t="shared" si="40"/>
        <v>0</v>
      </c>
      <c r="AO156" s="135">
        <f t="shared" si="28"/>
        <v>0</v>
      </c>
      <c r="AP156" s="135">
        <f t="shared" si="29"/>
        <v>0</v>
      </c>
      <c r="AQ156" s="135">
        <f t="shared" si="30"/>
        <v>0</v>
      </c>
      <c r="AR156" s="135">
        <f t="shared" si="31"/>
        <v>0</v>
      </c>
      <c r="AS156" s="135">
        <f t="shared" si="32"/>
        <v>0</v>
      </c>
      <c r="AT156" s="135">
        <f t="shared" si="33"/>
        <v>0</v>
      </c>
      <c r="AU156" s="135">
        <f t="shared" si="34"/>
        <v>0</v>
      </c>
      <c r="AV156" s="135">
        <f t="shared" si="35"/>
        <v>0</v>
      </c>
      <c r="AX156" s="131">
        <f t="shared" si="41"/>
        <v>0</v>
      </c>
    </row>
    <row r="157" spans="1:100" ht="15" customHeight="1">
      <c r="A157" s="160"/>
      <c r="B157" s="182">
        <v>1</v>
      </c>
      <c r="C157" s="183">
        <f t="shared" si="22"/>
        <v>4.9999999999999982E-2</v>
      </c>
      <c r="D157" s="160">
        <f t="shared" si="23"/>
        <v>0</v>
      </c>
      <c r="E157" s="184">
        <f t="shared" si="42"/>
        <v>0</v>
      </c>
      <c r="F157" s="184"/>
      <c r="G157" s="184"/>
      <c r="H157" s="185"/>
      <c r="I157" s="184"/>
      <c r="J157" s="160"/>
      <c r="K157" s="160"/>
      <c r="L157" s="160">
        <f t="shared" si="36"/>
        <v>0</v>
      </c>
      <c r="M157" s="160"/>
      <c r="N157" s="184">
        <v>150</v>
      </c>
      <c r="O157" s="184">
        <f t="shared" si="24"/>
        <v>0</v>
      </c>
      <c r="P157" s="160">
        <f t="shared" si="43"/>
        <v>0</v>
      </c>
      <c r="Q157" s="184">
        <f t="shared" si="25"/>
        <v>0</v>
      </c>
      <c r="R157" s="160"/>
      <c r="S157" s="160"/>
      <c r="T157" s="160"/>
      <c r="U157" s="160">
        <f t="shared" si="37"/>
        <v>150</v>
      </c>
      <c r="V157" s="160"/>
      <c r="W157" s="160">
        <f t="shared" si="38"/>
        <v>150</v>
      </c>
      <c r="X157" s="160"/>
      <c r="Y157" s="183">
        <f t="shared" si="39"/>
        <v>7.4999999999999969E-2</v>
      </c>
      <c r="Z157" s="183"/>
      <c r="AA157" s="183"/>
      <c r="AB157" s="167">
        <f>[5]APPLICATION!AC30*Z32/100/2</f>
        <v>0</v>
      </c>
      <c r="AC157" s="167"/>
      <c r="AD157" s="135">
        <f>IF(G32="DELIMBER",#REF!,0)</f>
        <v>0</v>
      </c>
      <c r="AE157" s="136">
        <f>IF(G32="FELLERBUNCHER",#REF!,0)</f>
        <v>0</v>
      </c>
      <c r="AF157" s="135">
        <f t="shared" si="26"/>
        <v>0</v>
      </c>
      <c r="AG157" s="135">
        <f>IF(G32="SLASHER",#REF!,0)</f>
        <v>0</v>
      </c>
      <c r="AH157" s="135">
        <f>IF(G32="SKIDDER",#REF!,0)</f>
        <v>0</v>
      </c>
      <c r="AI157" s="135">
        <f t="shared" si="27"/>
        <v>0</v>
      </c>
      <c r="AJ157" s="135">
        <f>IF(G32="LOG LOADER",#REF!,0)</f>
        <v>0</v>
      </c>
      <c r="AK157" s="135">
        <f>IF(W32="Y",#REF!,0)</f>
        <v>0</v>
      </c>
      <c r="AL157" s="135" t="s">
        <v>2</v>
      </c>
      <c r="AM157" s="135">
        <f t="shared" si="40"/>
        <v>0</v>
      </c>
      <c r="AO157" s="135">
        <f t="shared" si="28"/>
        <v>0</v>
      </c>
      <c r="AP157" s="135">
        <f t="shared" si="29"/>
        <v>0</v>
      </c>
      <c r="AQ157" s="135">
        <f t="shared" si="30"/>
        <v>0</v>
      </c>
      <c r="AR157" s="135">
        <f t="shared" si="31"/>
        <v>0</v>
      </c>
      <c r="AS157" s="135">
        <f t="shared" si="32"/>
        <v>0</v>
      </c>
      <c r="AT157" s="135">
        <f t="shared" si="33"/>
        <v>0</v>
      </c>
      <c r="AU157" s="135">
        <f t="shared" si="34"/>
        <v>0</v>
      </c>
      <c r="AV157" s="135">
        <f t="shared" si="35"/>
        <v>0</v>
      </c>
      <c r="AX157" s="131">
        <f t="shared" si="41"/>
        <v>0</v>
      </c>
    </row>
    <row r="158" spans="1:100" ht="15" customHeight="1">
      <c r="A158" s="160"/>
      <c r="B158" s="182">
        <v>1</v>
      </c>
      <c r="C158" s="183">
        <f t="shared" si="22"/>
        <v>4.9999999999999982E-2</v>
      </c>
      <c r="D158" s="160">
        <f t="shared" si="23"/>
        <v>0</v>
      </c>
      <c r="E158" s="184">
        <f t="shared" si="42"/>
        <v>0</v>
      </c>
      <c r="F158" s="184"/>
      <c r="G158" s="184"/>
      <c r="H158" s="185"/>
      <c r="I158" s="184"/>
      <c r="J158" s="160"/>
      <c r="K158" s="160"/>
      <c r="L158" s="160">
        <f t="shared" si="36"/>
        <v>0</v>
      </c>
      <c r="M158" s="160"/>
      <c r="N158" s="184">
        <v>150</v>
      </c>
      <c r="O158" s="184">
        <f t="shared" si="24"/>
        <v>0</v>
      </c>
      <c r="P158" s="160">
        <f t="shared" si="43"/>
        <v>0</v>
      </c>
      <c r="Q158" s="184">
        <f t="shared" si="25"/>
        <v>0</v>
      </c>
      <c r="R158" s="160"/>
      <c r="S158" s="160"/>
      <c r="T158" s="160"/>
      <c r="U158" s="160">
        <f t="shared" si="37"/>
        <v>150</v>
      </c>
      <c r="V158" s="160"/>
      <c r="W158" s="160">
        <f t="shared" si="38"/>
        <v>150</v>
      </c>
      <c r="X158" s="160"/>
      <c r="Y158" s="183">
        <f t="shared" si="39"/>
        <v>7.4999999999999969E-2</v>
      </c>
      <c r="Z158" s="183"/>
      <c r="AA158" s="183"/>
      <c r="AB158" s="167">
        <f>[5]APPLICATION!AC31*Z33/100/2</f>
        <v>0</v>
      </c>
      <c r="AC158" s="167"/>
      <c r="AD158" s="135">
        <f>IF(G33="DELIMBER",#REF!,0)</f>
        <v>0</v>
      </c>
      <c r="AE158" s="136">
        <f>IF(G33="FELLERBUNCHER",#REF!,0)</f>
        <v>0</v>
      </c>
      <c r="AF158" s="135">
        <f t="shared" si="26"/>
        <v>0</v>
      </c>
      <c r="AG158" s="135">
        <f>IF(G33="SLASHER",#REF!,0)</f>
        <v>0</v>
      </c>
      <c r="AH158" s="135">
        <f>IF(G33="SKIDDER",#REF!,0)</f>
        <v>0</v>
      </c>
      <c r="AI158" s="135">
        <f t="shared" si="27"/>
        <v>0</v>
      </c>
      <c r="AJ158" s="135">
        <f>IF(G33="LOG LOADER",#REF!,0)</f>
        <v>0</v>
      </c>
      <c r="AK158" s="135">
        <f>IF(W33="Y",#REF!,0)</f>
        <v>0</v>
      </c>
      <c r="AL158" s="135" t="s">
        <v>2</v>
      </c>
      <c r="AM158" s="135">
        <f t="shared" si="40"/>
        <v>0</v>
      </c>
      <c r="AO158" s="135">
        <f t="shared" si="28"/>
        <v>0</v>
      </c>
      <c r="AP158" s="135">
        <f t="shared" si="29"/>
        <v>0</v>
      </c>
      <c r="AQ158" s="135">
        <f t="shared" si="30"/>
        <v>0</v>
      </c>
      <c r="AR158" s="135">
        <f t="shared" si="31"/>
        <v>0</v>
      </c>
      <c r="AS158" s="135">
        <f t="shared" si="32"/>
        <v>0</v>
      </c>
      <c r="AT158" s="135">
        <f t="shared" si="33"/>
        <v>0</v>
      </c>
      <c r="AU158" s="135">
        <f t="shared" si="34"/>
        <v>0</v>
      </c>
      <c r="AV158" s="135">
        <f t="shared" si="35"/>
        <v>0</v>
      </c>
      <c r="AX158" s="131">
        <f t="shared" si="41"/>
        <v>0</v>
      </c>
    </row>
    <row r="159" spans="1:100" ht="15" customHeight="1">
      <c r="A159" s="160"/>
      <c r="B159" s="182">
        <v>1</v>
      </c>
      <c r="C159" s="183">
        <f t="shared" si="22"/>
        <v>4.9999999999999982E-2</v>
      </c>
      <c r="D159" s="160">
        <f t="shared" si="23"/>
        <v>0</v>
      </c>
      <c r="E159" s="184">
        <f t="shared" si="42"/>
        <v>50</v>
      </c>
      <c r="F159" s="184"/>
      <c r="G159" s="184"/>
      <c r="H159" s="185"/>
      <c r="I159" s="184"/>
      <c r="J159" s="160"/>
      <c r="K159" s="160"/>
      <c r="L159" s="160">
        <f t="shared" si="36"/>
        <v>50</v>
      </c>
      <c r="M159" s="160"/>
      <c r="N159" s="184">
        <v>150</v>
      </c>
      <c r="O159" s="184">
        <f t="shared" si="24"/>
        <v>0</v>
      </c>
      <c r="P159" s="160">
        <f t="shared" si="43"/>
        <v>0</v>
      </c>
      <c r="Q159" s="184">
        <f t="shared" si="25"/>
        <v>0</v>
      </c>
      <c r="R159" s="160"/>
      <c r="S159" s="160"/>
      <c r="T159" s="160"/>
      <c r="U159" s="160">
        <f t="shared" si="37"/>
        <v>150</v>
      </c>
      <c r="V159" s="160"/>
      <c r="W159" s="160">
        <f t="shared" si="38"/>
        <v>200</v>
      </c>
      <c r="X159" s="160"/>
      <c r="Y159" s="183">
        <f t="shared" si="39"/>
        <v>9.9999999999999964E-2</v>
      </c>
      <c r="Z159" s="183"/>
      <c r="AA159" s="183"/>
      <c r="AB159" s="167">
        <f>[5]APPLICATION!AC32*Z34/100/2</f>
        <v>0</v>
      </c>
      <c r="AC159" s="167"/>
      <c r="AD159" s="135">
        <f>IF(G34="DELIMBER",#REF!,0)</f>
        <v>0</v>
      </c>
      <c r="AE159" s="136">
        <f>IF(G34="FELLERBUNCHER",#REF!,0)</f>
        <v>0</v>
      </c>
      <c r="AF159" s="135">
        <f t="shared" si="26"/>
        <v>0</v>
      </c>
      <c r="AG159" s="135">
        <f>IF(G34="SLASHER",#REF!,0)</f>
        <v>0</v>
      </c>
      <c r="AH159" s="135">
        <f>IF(G34="SKIDDER",#REF!,0)</f>
        <v>0</v>
      </c>
      <c r="AI159" s="135">
        <f t="shared" si="27"/>
        <v>0</v>
      </c>
      <c r="AJ159" s="135">
        <f>IF(G34="LOG LOADER",#REF!,0)</f>
        <v>0</v>
      </c>
      <c r="AK159" s="135">
        <f>IF(W34="Y",#REF!,0)</f>
        <v>0</v>
      </c>
      <c r="AL159" s="135" t="s">
        <v>2</v>
      </c>
      <c r="AM159" s="135">
        <f t="shared" si="40"/>
        <v>0</v>
      </c>
      <c r="AO159" s="135">
        <f t="shared" si="28"/>
        <v>0</v>
      </c>
      <c r="AP159" s="135">
        <f t="shared" si="29"/>
        <v>0</v>
      </c>
      <c r="AQ159" s="135">
        <f t="shared" si="30"/>
        <v>0</v>
      </c>
      <c r="AR159" s="135">
        <f t="shared" si="31"/>
        <v>0</v>
      </c>
      <c r="AS159" s="135">
        <f t="shared" si="32"/>
        <v>0</v>
      </c>
      <c r="AT159" s="135">
        <f t="shared" si="33"/>
        <v>0</v>
      </c>
      <c r="AU159" s="135">
        <f t="shared" si="34"/>
        <v>0</v>
      </c>
      <c r="AV159" s="135">
        <f t="shared" si="35"/>
        <v>0</v>
      </c>
      <c r="AX159" s="131">
        <f t="shared" si="41"/>
        <v>0</v>
      </c>
    </row>
    <row r="160" spans="1:100" ht="15" customHeight="1">
      <c r="A160" s="160"/>
      <c r="B160" s="182">
        <v>1</v>
      </c>
      <c r="C160" s="183">
        <f t="shared" si="22"/>
        <v>4.9999999999999982E-2</v>
      </c>
      <c r="D160" s="160">
        <f t="shared" si="23"/>
        <v>0</v>
      </c>
      <c r="E160" s="184">
        <f t="shared" si="42"/>
        <v>0</v>
      </c>
      <c r="F160" s="184"/>
      <c r="G160" s="184"/>
      <c r="H160" s="185"/>
      <c r="I160" s="184"/>
      <c r="J160" s="160"/>
      <c r="K160" s="160"/>
      <c r="L160" s="160">
        <f t="shared" si="36"/>
        <v>0</v>
      </c>
      <c r="M160" s="160"/>
      <c r="N160" s="184">
        <v>150</v>
      </c>
      <c r="O160" s="184">
        <f t="shared" si="24"/>
        <v>0</v>
      </c>
      <c r="P160" s="160">
        <f t="shared" si="43"/>
        <v>0</v>
      </c>
      <c r="Q160" s="184">
        <f t="shared" si="25"/>
        <v>0</v>
      </c>
      <c r="R160" s="160"/>
      <c r="S160" s="160"/>
      <c r="T160" s="160"/>
      <c r="U160" s="160">
        <f t="shared" si="37"/>
        <v>150</v>
      </c>
      <c r="V160" s="160"/>
      <c r="W160" s="160">
        <f t="shared" si="38"/>
        <v>150</v>
      </c>
      <c r="X160" s="160"/>
      <c r="Y160" s="183">
        <f t="shared" si="39"/>
        <v>7.4999999999999969E-2</v>
      </c>
      <c r="Z160" s="183"/>
      <c r="AA160" s="183"/>
      <c r="AB160" s="167">
        <f>[5]APPLICATION!AC33*Z35/100/2</f>
        <v>0</v>
      </c>
      <c r="AC160" s="167"/>
      <c r="AD160" s="135">
        <f>IF(G35="DELIMBER",#REF!,0)</f>
        <v>0</v>
      </c>
      <c r="AE160" s="136">
        <f>IF(G35="FELLERBUNCHER",#REF!,0)</f>
        <v>0</v>
      </c>
      <c r="AF160" s="135">
        <f t="shared" si="26"/>
        <v>0</v>
      </c>
      <c r="AG160" s="135">
        <f>IF(G35="SLASHER",#REF!,0)</f>
        <v>0</v>
      </c>
      <c r="AH160" s="135">
        <f>IF(G35="SKIDDER",#REF!,0)</f>
        <v>0</v>
      </c>
      <c r="AI160" s="135">
        <f t="shared" si="27"/>
        <v>0</v>
      </c>
      <c r="AJ160" s="135">
        <f>IF(G35="LOG LOADER",#REF!,0)</f>
        <v>0</v>
      </c>
      <c r="AK160" s="135">
        <f>IF(W35="Y",#REF!,0)</f>
        <v>0</v>
      </c>
      <c r="AL160" s="135" t="s">
        <v>2</v>
      </c>
      <c r="AM160" s="135">
        <f t="shared" si="40"/>
        <v>0</v>
      </c>
      <c r="AO160" s="135">
        <f t="shared" si="28"/>
        <v>0</v>
      </c>
      <c r="AP160" s="135">
        <f t="shared" si="29"/>
        <v>0</v>
      </c>
      <c r="AQ160" s="135">
        <f t="shared" si="30"/>
        <v>0</v>
      </c>
      <c r="AR160" s="135">
        <f t="shared" si="31"/>
        <v>0</v>
      </c>
      <c r="AS160" s="135">
        <f t="shared" si="32"/>
        <v>0</v>
      </c>
      <c r="AT160" s="135">
        <f t="shared" si="33"/>
        <v>0</v>
      </c>
      <c r="AU160" s="135">
        <f t="shared" si="34"/>
        <v>0</v>
      </c>
      <c r="AV160" s="135">
        <f t="shared" si="35"/>
        <v>0</v>
      </c>
      <c r="AX160" s="131">
        <f t="shared" si="41"/>
        <v>0</v>
      </c>
    </row>
    <row r="161" spans="1:50" ht="15" customHeight="1">
      <c r="A161" s="160"/>
      <c r="B161" s="182">
        <v>1</v>
      </c>
      <c r="C161" s="183">
        <f t="shared" si="22"/>
        <v>4.9999999999999982E-2</v>
      </c>
      <c r="D161" s="160">
        <f t="shared" si="23"/>
        <v>0</v>
      </c>
      <c r="E161" s="184">
        <f t="shared" si="42"/>
        <v>0</v>
      </c>
      <c r="F161" s="184"/>
      <c r="G161" s="184"/>
      <c r="H161" s="185"/>
      <c r="I161" s="184"/>
      <c r="J161" s="160"/>
      <c r="K161" s="160"/>
      <c r="L161" s="160">
        <f t="shared" si="36"/>
        <v>0</v>
      </c>
      <c r="M161" s="160"/>
      <c r="N161" s="184">
        <v>150</v>
      </c>
      <c r="O161" s="184">
        <f t="shared" si="24"/>
        <v>0</v>
      </c>
      <c r="P161" s="160">
        <f t="shared" si="43"/>
        <v>0</v>
      </c>
      <c r="Q161" s="184">
        <f t="shared" si="25"/>
        <v>0</v>
      </c>
      <c r="R161" s="160"/>
      <c r="S161" s="160"/>
      <c r="T161" s="160"/>
      <c r="U161" s="160">
        <f t="shared" si="37"/>
        <v>150</v>
      </c>
      <c r="V161" s="160"/>
      <c r="W161" s="160">
        <f t="shared" si="38"/>
        <v>150</v>
      </c>
      <c r="X161" s="160"/>
      <c r="Y161" s="183">
        <f t="shared" si="39"/>
        <v>7.4999999999999969E-2</v>
      </c>
      <c r="Z161" s="183"/>
      <c r="AA161" s="183"/>
      <c r="AB161" s="167">
        <f>[5]APPLICATION!AC34*Z36/100/2</f>
        <v>0</v>
      </c>
      <c r="AC161" s="167"/>
      <c r="AD161" s="135">
        <f>IF(G36="DELIMBER",#REF!,0)</f>
        <v>0</v>
      </c>
      <c r="AE161" s="136">
        <f>IF(G36="FELLERBUNCHER",#REF!,0)</f>
        <v>0</v>
      </c>
      <c r="AF161" s="135">
        <f t="shared" si="26"/>
        <v>0</v>
      </c>
      <c r="AG161" s="135">
        <f>IF(G36="SLASHER",#REF!,0)</f>
        <v>0</v>
      </c>
      <c r="AH161" s="135">
        <f>IF(G36="SKIDDER",#REF!,0)</f>
        <v>0</v>
      </c>
      <c r="AI161" s="135">
        <f t="shared" si="27"/>
        <v>0</v>
      </c>
      <c r="AJ161" s="135">
        <f>IF(G36="LOG LOADER",#REF!,0)</f>
        <v>0</v>
      </c>
      <c r="AK161" s="135">
        <f>IF(W36="Y",#REF!,0)</f>
        <v>0</v>
      </c>
      <c r="AL161" s="135" t="s">
        <v>2</v>
      </c>
      <c r="AM161" s="135">
        <f t="shared" si="40"/>
        <v>0</v>
      </c>
      <c r="AO161" s="135">
        <f t="shared" si="28"/>
        <v>0</v>
      </c>
      <c r="AP161" s="135">
        <f t="shared" si="29"/>
        <v>0</v>
      </c>
      <c r="AQ161" s="135">
        <f t="shared" si="30"/>
        <v>0</v>
      </c>
      <c r="AR161" s="135">
        <f t="shared" si="31"/>
        <v>0</v>
      </c>
      <c r="AS161" s="135">
        <f t="shared" si="32"/>
        <v>0</v>
      </c>
      <c r="AT161" s="135">
        <f t="shared" si="33"/>
        <v>0</v>
      </c>
      <c r="AU161" s="135">
        <f t="shared" si="34"/>
        <v>0</v>
      </c>
      <c r="AV161" s="135">
        <f t="shared" si="35"/>
        <v>0</v>
      </c>
      <c r="AX161" s="131">
        <f t="shared" si="41"/>
        <v>0</v>
      </c>
    </row>
    <row r="162" spans="1:50" ht="15" customHeight="1">
      <c r="A162" s="160"/>
      <c r="B162" s="182">
        <v>1</v>
      </c>
      <c r="C162" s="183">
        <f t="shared" si="22"/>
        <v>4.9999999999999982E-2</v>
      </c>
      <c r="D162" s="160">
        <f t="shared" si="23"/>
        <v>0</v>
      </c>
      <c r="E162" s="184">
        <f t="shared" si="42"/>
        <v>0</v>
      </c>
      <c r="F162" s="184"/>
      <c r="G162" s="184"/>
      <c r="H162" s="185"/>
      <c r="I162" s="184"/>
      <c r="J162" s="160"/>
      <c r="K162" s="160"/>
      <c r="L162" s="160">
        <f t="shared" si="36"/>
        <v>0</v>
      </c>
      <c r="M162" s="160"/>
      <c r="N162" s="184">
        <v>150</v>
      </c>
      <c r="O162" s="184">
        <f t="shared" si="24"/>
        <v>0</v>
      </c>
      <c r="P162" s="160">
        <f t="shared" si="43"/>
        <v>0</v>
      </c>
      <c r="Q162" s="184">
        <f t="shared" si="25"/>
        <v>0</v>
      </c>
      <c r="R162" s="160"/>
      <c r="S162" s="160"/>
      <c r="T162" s="160"/>
      <c r="U162" s="160">
        <f t="shared" si="37"/>
        <v>150</v>
      </c>
      <c r="V162" s="160"/>
      <c r="W162" s="160">
        <f t="shared" si="38"/>
        <v>150</v>
      </c>
      <c r="X162" s="160"/>
      <c r="Y162" s="183">
        <f t="shared" si="39"/>
        <v>7.4999999999999969E-2</v>
      </c>
      <c r="Z162" s="183"/>
      <c r="AA162" s="183"/>
      <c r="AB162" s="167">
        <f>[5]APPLICATION!AC35*Z37/100/2</f>
        <v>0</v>
      </c>
      <c r="AC162" s="167"/>
      <c r="AD162" s="135">
        <f>IF(G37="DELIMBER",#REF!,0)</f>
        <v>0</v>
      </c>
      <c r="AE162" s="136">
        <f>IF(G37="FELLERBUNCHER",#REF!,0)</f>
        <v>0</v>
      </c>
      <c r="AF162" s="135">
        <f t="shared" si="26"/>
        <v>0</v>
      </c>
      <c r="AG162" s="135">
        <f>IF(G37="SLASHER",#REF!,0)</f>
        <v>0</v>
      </c>
      <c r="AH162" s="135">
        <f>IF(G37="SKIDDER",#REF!,0)</f>
        <v>0</v>
      </c>
      <c r="AI162" s="135">
        <f t="shared" si="27"/>
        <v>0</v>
      </c>
      <c r="AJ162" s="135">
        <f>IF(G37="LOG LOADER",#REF!,0)</f>
        <v>0</v>
      </c>
      <c r="AK162" s="135">
        <f>IF(W37="Y",#REF!,0)</f>
        <v>0</v>
      </c>
      <c r="AL162" s="135" t="s">
        <v>2</v>
      </c>
      <c r="AM162" s="135">
        <f t="shared" si="40"/>
        <v>0</v>
      </c>
      <c r="AO162" s="135">
        <f t="shared" si="28"/>
        <v>0</v>
      </c>
      <c r="AP162" s="135">
        <f t="shared" si="29"/>
        <v>0</v>
      </c>
      <c r="AQ162" s="135">
        <f t="shared" si="30"/>
        <v>0</v>
      </c>
      <c r="AR162" s="135">
        <f t="shared" si="31"/>
        <v>0</v>
      </c>
      <c r="AS162" s="135">
        <f t="shared" si="32"/>
        <v>0</v>
      </c>
      <c r="AT162" s="135">
        <f t="shared" si="33"/>
        <v>0</v>
      </c>
      <c r="AU162" s="135">
        <f t="shared" si="34"/>
        <v>0</v>
      </c>
      <c r="AV162" s="135">
        <f t="shared" si="35"/>
        <v>0</v>
      </c>
      <c r="AX162" s="131">
        <f t="shared" si="41"/>
        <v>0</v>
      </c>
    </row>
    <row r="163" spans="1:50" ht="15" customHeight="1">
      <c r="A163" s="160"/>
      <c r="B163" s="182">
        <v>1</v>
      </c>
      <c r="C163" s="183">
        <f t="shared" si="22"/>
        <v>4.9999999999999982E-2</v>
      </c>
      <c r="D163" s="160">
        <f t="shared" si="23"/>
        <v>0</v>
      </c>
      <c r="E163" s="184">
        <f t="shared" si="42"/>
        <v>0</v>
      </c>
      <c r="F163" s="184"/>
      <c r="G163" s="184"/>
      <c r="H163" s="185"/>
      <c r="I163" s="184"/>
      <c r="J163" s="160"/>
      <c r="K163" s="160"/>
      <c r="L163" s="160">
        <f t="shared" si="36"/>
        <v>0</v>
      </c>
      <c r="M163" s="160"/>
      <c r="N163" s="184">
        <v>150</v>
      </c>
      <c r="O163" s="184">
        <f t="shared" si="24"/>
        <v>0</v>
      </c>
      <c r="P163" s="160">
        <f t="shared" si="43"/>
        <v>0</v>
      </c>
      <c r="Q163" s="184">
        <f t="shared" si="25"/>
        <v>0</v>
      </c>
      <c r="R163" s="160"/>
      <c r="S163" s="160"/>
      <c r="T163" s="160"/>
      <c r="U163" s="160">
        <f t="shared" si="37"/>
        <v>150</v>
      </c>
      <c r="V163" s="160"/>
      <c r="W163" s="160">
        <f t="shared" si="38"/>
        <v>150</v>
      </c>
      <c r="X163" s="160"/>
      <c r="Y163" s="183">
        <f t="shared" si="39"/>
        <v>7.4999999999999969E-2</v>
      </c>
      <c r="Z163" s="183"/>
      <c r="AA163" s="183"/>
      <c r="AB163" s="167">
        <f>[5]APPLICATION!AC36*Z38/100/2</f>
        <v>0</v>
      </c>
      <c r="AC163" s="167"/>
      <c r="AD163" s="135">
        <f>IF(G38="DELIMBER",#REF!,0)</f>
        <v>0</v>
      </c>
      <c r="AE163" s="136">
        <f>IF(G38="FELLERBUNCHER",#REF!,0)</f>
        <v>0</v>
      </c>
      <c r="AF163" s="135">
        <f t="shared" si="26"/>
        <v>0</v>
      </c>
      <c r="AG163" s="135">
        <f>IF(G38="SLASHER",#REF!,0)</f>
        <v>0</v>
      </c>
      <c r="AH163" s="135">
        <f>IF(G38="SKIDDER",#REF!,0)</f>
        <v>0</v>
      </c>
      <c r="AI163" s="135">
        <f t="shared" si="27"/>
        <v>0</v>
      </c>
      <c r="AJ163" s="135">
        <f>IF(G38="LOG LOADER",#REF!,0)</f>
        <v>0</v>
      </c>
      <c r="AK163" s="135">
        <f>IF(W38="Y",#REF!,0)</f>
        <v>0</v>
      </c>
      <c r="AL163" s="135" t="s">
        <v>2</v>
      </c>
      <c r="AM163" s="135">
        <f t="shared" si="40"/>
        <v>0</v>
      </c>
      <c r="AO163" s="135">
        <f t="shared" si="28"/>
        <v>0</v>
      </c>
      <c r="AP163" s="135">
        <f t="shared" si="29"/>
        <v>0</v>
      </c>
      <c r="AQ163" s="135">
        <f t="shared" si="30"/>
        <v>0</v>
      </c>
      <c r="AR163" s="135">
        <f t="shared" si="31"/>
        <v>0</v>
      </c>
      <c r="AS163" s="135">
        <f t="shared" si="32"/>
        <v>0</v>
      </c>
      <c r="AT163" s="135">
        <f t="shared" si="33"/>
        <v>0</v>
      </c>
      <c r="AU163" s="135">
        <f t="shared" si="34"/>
        <v>0</v>
      </c>
      <c r="AV163" s="135">
        <f t="shared" si="35"/>
        <v>0</v>
      </c>
      <c r="AX163" s="131">
        <f t="shared" si="41"/>
        <v>0</v>
      </c>
    </row>
    <row r="164" spans="1:50" ht="15" customHeight="1">
      <c r="A164" s="160"/>
      <c r="B164" s="182">
        <v>1</v>
      </c>
      <c r="C164" s="183">
        <f t="shared" si="22"/>
        <v>4.9999999999999982E-2</v>
      </c>
      <c r="D164" s="160">
        <f t="shared" si="23"/>
        <v>0</v>
      </c>
      <c r="E164" s="184">
        <f t="shared" si="42"/>
        <v>0</v>
      </c>
      <c r="F164" s="184"/>
      <c r="G164" s="184"/>
      <c r="H164" s="185"/>
      <c r="I164" s="184"/>
      <c r="J164" s="160"/>
      <c r="K164" s="160"/>
      <c r="L164" s="160">
        <f t="shared" si="36"/>
        <v>0</v>
      </c>
      <c r="M164" s="160"/>
      <c r="N164" s="184">
        <v>150</v>
      </c>
      <c r="O164" s="184">
        <f t="shared" si="24"/>
        <v>0</v>
      </c>
      <c r="P164" s="160">
        <f t="shared" si="43"/>
        <v>0</v>
      </c>
      <c r="Q164" s="184">
        <f t="shared" si="25"/>
        <v>0</v>
      </c>
      <c r="R164" s="160"/>
      <c r="S164" s="160"/>
      <c r="T164" s="160"/>
      <c r="U164" s="160">
        <f t="shared" si="37"/>
        <v>150</v>
      </c>
      <c r="V164" s="160"/>
      <c r="W164" s="160">
        <f t="shared" si="38"/>
        <v>150</v>
      </c>
      <c r="X164" s="160"/>
      <c r="Y164" s="183">
        <f t="shared" si="39"/>
        <v>7.4999999999999969E-2</v>
      </c>
      <c r="Z164" s="183"/>
      <c r="AA164" s="183"/>
      <c r="AB164" s="167">
        <f>[5]APPLICATION!AC37*Z39/100/2</f>
        <v>0</v>
      </c>
      <c r="AC164" s="167"/>
      <c r="AD164" s="135">
        <f>IF(G39="DELIMBER",#REF!,0)</f>
        <v>0</v>
      </c>
      <c r="AE164" s="136">
        <f>IF(G39="FELLERBUNCHER",#REF!,0)</f>
        <v>0</v>
      </c>
      <c r="AF164" s="135">
        <f t="shared" si="26"/>
        <v>0</v>
      </c>
      <c r="AG164" s="135">
        <f>IF(G39="SLASHER",#REF!,0)</f>
        <v>0</v>
      </c>
      <c r="AH164" s="135">
        <f>IF(G39="SKIDDER",#REF!,0)</f>
        <v>0</v>
      </c>
      <c r="AI164" s="135">
        <f t="shared" si="27"/>
        <v>0</v>
      </c>
      <c r="AJ164" s="135">
        <f>IF(G39="LOG LOADER",#REF!,0)</f>
        <v>0</v>
      </c>
      <c r="AK164" s="135">
        <f>IF(W39="Y",#REF!,0)</f>
        <v>0</v>
      </c>
      <c r="AL164" s="135" t="s">
        <v>2</v>
      </c>
      <c r="AM164" s="135">
        <f t="shared" si="40"/>
        <v>0</v>
      </c>
      <c r="AO164" s="135">
        <f t="shared" si="28"/>
        <v>0</v>
      </c>
      <c r="AP164" s="135">
        <f t="shared" si="29"/>
        <v>0</v>
      </c>
      <c r="AQ164" s="135">
        <f t="shared" si="30"/>
        <v>0</v>
      </c>
      <c r="AR164" s="135">
        <f t="shared" si="31"/>
        <v>0</v>
      </c>
      <c r="AS164" s="135">
        <f t="shared" si="32"/>
        <v>0</v>
      </c>
      <c r="AT164" s="135">
        <f t="shared" si="33"/>
        <v>0</v>
      </c>
      <c r="AU164" s="135">
        <f t="shared" si="34"/>
        <v>0</v>
      </c>
      <c r="AV164" s="135">
        <f t="shared" si="35"/>
        <v>0</v>
      </c>
      <c r="AX164" s="131">
        <f t="shared" si="41"/>
        <v>0</v>
      </c>
    </row>
    <row r="165" spans="1:50" ht="15" customHeight="1">
      <c r="A165" s="160"/>
      <c r="B165" s="182">
        <v>1</v>
      </c>
      <c r="C165" s="183">
        <f t="shared" si="22"/>
        <v>4.9999999999999982E-2</v>
      </c>
      <c r="D165" s="160">
        <f t="shared" si="23"/>
        <v>0</v>
      </c>
      <c r="E165" s="184">
        <f t="shared" si="42"/>
        <v>0</v>
      </c>
      <c r="F165" s="184"/>
      <c r="G165" s="184"/>
      <c r="H165" s="185"/>
      <c r="I165" s="184"/>
      <c r="J165" s="160"/>
      <c r="K165" s="160"/>
      <c r="L165" s="160">
        <f t="shared" si="36"/>
        <v>0</v>
      </c>
      <c r="M165" s="160"/>
      <c r="N165" s="184">
        <v>150</v>
      </c>
      <c r="O165" s="184">
        <f t="shared" si="24"/>
        <v>0</v>
      </c>
      <c r="P165" s="160">
        <f t="shared" si="43"/>
        <v>0</v>
      </c>
      <c r="Q165" s="184">
        <f t="shared" si="25"/>
        <v>0</v>
      </c>
      <c r="R165" s="160"/>
      <c r="S165" s="160"/>
      <c r="T165" s="160"/>
      <c r="U165" s="160">
        <f t="shared" si="37"/>
        <v>150</v>
      </c>
      <c r="V165" s="160"/>
      <c r="W165" s="160">
        <f t="shared" si="38"/>
        <v>150</v>
      </c>
      <c r="X165" s="160"/>
      <c r="Y165" s="183">
        <f t="shared" si="39"/>
        <v>7.4999999999999969E-2</v>
      </c>
      <c r="Z165" s="183"/>
      <c r="AA165" s="183"/>
      <c r="AB165" s="167">
        <f>[5]APPLICATION!AC38*Z40/100/2</f>
        <v>0</v>
      </c>
      <c r="AC165" s="167"/>
      <c r="AD165" s="135">
        <f>IF(G40="DELIMBER",#REF!,0)</f>
        <v>0</v>
      </c>
      <c r="AE165" s="136">
        <f>IF(G40="FELLERBUNCHER",#REF!,0)</f>
        <v>0</v>
      </c>
      <c r="AF165" s="135">
        <f t="shared" si="26"/>
        <v>0</v>
      </c>
      <c r="AG165" s="135">
        <f>IF(G40="SLASHER",#REF!,0)</f>
        <v>0</v>
      </c>
      <c r="AH165" s="135">
        <f>IF(G40="SKIDDER",#REF!,0)</f>
        <v>0</v>
      </c>
      <c r="AI165" s="135">
        <f t="shared" si="27"/>
        <v>0</v>
      </c>
      <c r="AJ165" s="135">
        <f>IF(G40="LOG LOADER",#REF!,0)</f>
        <v>0</v>
      </c>
      <c r="AK165" s="135">
        <f>IF(W40="Y",#REF!,0)</f>
        <v>0</v>
      </c>
      <c r="AL165" s="135" t="s">
        <v>2</v>
      </c>
      <c r="AM165" s="135">
        <f t="shared" si="40"/>
        <v>0</v>
      </c>
      <c r="AO165" s="135">
        <f t="shared" si="28"/>
        <v>0</v>
      </c>
      <c r="AP165" s="135">
        <f t="shared" si="29"/>
        <v>0</v>
      </c>
      <c r="AQ165" s="135">
        <f t="shared" si="30"/>
        <v>0</v>
      </c>
      <c r="AR165" s="135">
        <f t="shared" si="31"/>
        <v>0</v>
      </c>
      <c r="AS165" s="135">
        <f t="shared" si="32"/>
        <v>0</v>
      </c>
      <c r="AT165" s="135">
        <f t="shared" si="33"/>
        <v>0</v>
      </c>
      <c r="AU165" s="135">
        <f t="shared" si="34"/>
        <v>0</v>
      </c>
      <c r="AV165" s="135">
        <f t="shared" si="35"/>
        <v>0</v>
      </c>
      <c r="AX165" s="131">
        <f t="shared" si="41"/>
        <v>0</v>
      </c>
    </row>
    <row r="166" spans="1:50" ht="15" customHeight="1">
      <c r="A166" s="160"/>
      <c r="B166" s="182">
        <v>1</v>
      </c>
      <c r="C166" s="183">
        <f t="shared" si="22"/>
        <v>4.9999999999999982E-2</v>
      </c>
      <c r="D166" s="160">
        <f t="shared" si="23"/>
        <v>0</v>
      </c>
      <c r="E166" s="184">
        <f t="shared" si="42"/>
        <v>0</v>
      </c>
      <c r="F166" s="184"/>
      <c r="G166" s="184"/>
      <c r="H166" s="185"/>
      <c r="I166" s="184"/>
      <c r="J166" s="160"/>
      <c r="K166" s="160"/>
      <c r="L166" s="160">
        <f t="shared" si="36"/>
        <v>0</v>
      </c>
      <c r="M166" s="160"/>
      <c r="N166" s="184">
        <v>150</v>
      </c>
      <c r="O166" s="184">
        <f t="shared" si="24"/>
        <v>0</v>
      </c>
      <c r="P166" s="160">
        <f t="shared" si="43"/>
        <v>0</v>
      </c>
      <c r="Q166" s="184">
        <f t="shared" si="25"/>
        <v>0</v>
      </c>
      <c r="R166" s="160"/>
      <c r="S166" s="160"/>
      <c r="T166" s="160"/>
      <c r="U166" s="160">
        <f t="shared" si="37"/>
        <v>150</v>
      </c>
      <c r="V166" s="160"/>
      <c r="W166" s="160">
        <f t="shared" si="38"/>
        <v>150</v>
      </c>
      <c r="X166" s="160"/>
      <c r="Y166" s="183">
        <f t="shared" si="39"/>
        <v>7.4999999999999969E-2</v>
      </c>
      <c r="Z166" s="183"/>
      <c r="AA166" s="183"/>
      <c r="AB166" s="167">
        <f>[5]APPLICATION!AC39*Z41/100/2</f>
        <v>0</v>
      </c>
      <c r="AC166" s="167"/>
      <c r="AD166" s="135">
        <f>IF(G41="DELIMBER",#REF!,0)</f>
        <v>0</v>
      </c>
      <c r="AE166" s="136">
        <f>IF(G41="FELLERBUNCHER",#REF!,0)</f>
        <v>0</v>
      </c>
      <c r="AF166" s="135">
        <f t="shared" si="26"/>
        <v>0</v>
      </c>
      <c r="AG166" s="135">
        <f>IF(G41="SLASHER",#REF!,0)</f>
        <v>0</v>
      </c>
      <c r="AH166" s="135">
        <f>IF(G41="SKIDDER",#REF!,0)</f>
        <v>0</v>
      </c>
      <c r="AI166" s="135">
        <f t="shared" si="27"/>
        <v>0</v>
      </c>
      <c r="AJ166" s="135">
        <f>IF(G41="LOG LOADER",#REF!,0)</f>
        <v>0</v>
      </c>
      <c r="AK166" s="135">
        <f>IF(W41="Y",#REF!,0)</f>
        <v>0</v>
      </c>
      <c r="AL166" s="135" t="s">
        <v>2</v>
      </c>
      <c r="AM166" s="135">
        <f t="shared" si="40"/>
        <v>0</v>
      </c>
      <c r="AO166" s="135">
        <f t="shared" si="28"/>
        <v>0</v>
      </c>
      <c r="AP166" s="135">
        <f t="shared" si="29"/>
        <v>0</v>
      </c>
      <c r="AQ166" s="135">
        <f t="shared" si="30"/>
        <v>0</v>
      </c>
      <c r="AR166" s="135">
        <f t="shared" si="31"/>
        <v>0</v>
      </c>
      <c r="AS166" s="135">
        <f t="shared" si="32"/>
        <v>0</v>
      </c>
      <c r="AT166" s="135">
        <f t="shared" si="33"/>
        <v>0</v>
      </c>
      <c r="AU166" s="135">
        <f t="shared" si="34"/>
        <v>0</v>
      </c>
      <c r="AV166" s="135">
        <f t="shared" si="35"/>
        <v>0</v>
      </c>
      <c r="AX166" s="131">
        <f t="shared" si="41"/>
        <v>0</v>
      </c>
    </row>
    <row r="167" spans="1:50" ht="15" customHeight="1">
      <c r="A167" s="160"/>
      <c r="B167" s="182">
        <v>1</v>
      </c>
      <c r="C167" s="183">
        <f t="shared" si="22"/>
        <v>4.9999999999999982E-2</v>
      </c>
      <c r="D167" s="160">
        <f t="shared" si="23"/>
        <v>0</v>
      </c>
      <c r="E167" s="184">
        <f t="shared" si="42"/>
        <v>0</v>
      </c>
      <c r="F167" s="184"/>
      <c r="G167" s="184"/>
      <c r="H167" s="185"/>
      <c r="I167" s="184"/>
      <c r="J167" s="160"/>
      <c r="K167" s="160"/>
      <c r="L167" s="160">
        <f t="shared" si="36"/>
        <v>0</v>
      </c>
      <c r="M167" s="160"/>
      <c r="N167" s="184">
        <v>150</v>
      </c>
      <c r="O167" s="184">
        <f t="shared" si="24"/>
        <v>0</v>
      </c>
      <c r="P167" s="160">
        <f t="shared" si="43"/>
        <v>0</v>
      </c>
      <c r="Q167" s="184">
        <f t="shared" si="25"/>
        <v>0</v>
      </c>
      <c r="R167" s="160"/>
      <c r="S167" s="160"/>
      <c r="T167" s="160"/>
      <c r="U167" s="160">
        <f t="shared" si="37"/>
        <v>150</v>
      </c>
      <c r="V167" s="160"/>
      <c r="W167" s="160">
        <f t="shared" si="38"/>
        <v>150</v>
      </c>
      <c r="X167" s="160"/>
      <c r="Y167" s="183">
        <f t="shared" si="39"/>
        <v>7.4999999999999969E-2</v>
      </c>
      <c r="Z167" s="183"/>
      <c r="AA167" s="183"/>
      <c r="AB167" s="167">
        <f>[5]APPLICATION!AC40*Z42/100/2</f>
        <v>0</v>
      </c>
      <c r="AC167" s="167"/>
      <c r="AD167" s="135">
        <f>IF(G42="DELIMBER",#REF!,0)</f>
        <v>0</v>
      </c>
      <c r="AE167" s="136">
        <f>IF(G42="FELLERBUNCHER",#REF!,0)</f>
        <v>0</v>
      </c>
      <c r="AF167" s="135">
        <f t="shared" si="26"/>
        <v>0</v>
      </c>
      <c r="AG167" s="135">
        <f>IF(G42="SLASHER",#REF!,0)</f>
        <v>0</v>
      </c>
      <c r="AH167" s="135">
        <f>IF(G42="SKIDDER",#REF!,0)</f>
        <v>0</v>
      </c>
      <c r="AI167" s="135">
        <f t="shared" si="27"/>
        <v>0</v>
      </c>
      <c r="AJ167" s="135">
        <f>IF(G42="LOG LOADER",#REF!,0)</f>
        <v>0</v>
      </c>
      <c r="AK167" s="135">
        <f>IF(W42="Y",#REF!,0)</f>
        <v>0</v>
      </c>
      <c r="AL167" s="135" t="s">
        <v>2</v>
      </c>
      <c r="AM167" s="135">
        <f t="shared" si="40"/>
        <v>0</v>
      </c>
      <c r="AO167" s="135">
        <f t="shared" si="28"/>
        <v>0</v>
      </c>
      <c r="AP167" s="135">
        <f t="shared" si="29"/>
        <v>0</v>
      </c>
      <c r="AQ167" s="135">
        <f t="shared" si="30"/>
        <v>0</v>
      </c>
      <c r="AR167" s="135">
        <f t="shared" si="31"/>
        <v>0</v>
      </c>
      <c r="AS167" s="135">
        <f t="shared" si="32"/>
        <v>0</v>
      </c>
      <c r="AT167" s="135">
        <f t="shared" si="33"/>
        <v>0</v>
      </c>
      <c r="AU167" s="135">
        <f t="shared" si="34"/>
        <v>0</v>
      </c>
      <c r="AV167" s="135">
        <f t="shared" si="35"/>
        <v>0</v>
      </c>
      <c r="AX167" s="131">
        <f t="shared" si="41"/>
        <v>0</v>
      </c>
    </row>
    <row r="168" spans="1:50" ht="15" customHeight="1">
      <c r="A168" s="160"/>
      <c r="B168" s="182">
        <v>1</v>
      </c>
      <c r="C168" s="183">
        <f t="shared" si="22"/>
        <v>4.9999999999999982E-2</v>
      </c>
      <c r="D168" s="160">
        <f t="shared" si="23"/>
        <v>0</v>
      </c>
      <c r="E168" s="184">
        <f t="shared" si="42"/>
        <v>0</v>
      </c>
      <c r="F168" s="184"/>
      <c r="G168" s="184"/>
      <c r="H168" s="185"/>
      <c r="I168" s="184"/>
      <c r="J168" s="160"/>
      <c r="K168" s="160"/>
      <c r="L168" s="160">
        <f t="shared" si="36"/>
        <v>0</v>
      </c>
      <c r="M168" s="160"/>
      <c r="N168" s="184">
        <v>150</v>
      </c>
      <c r="O168" s="184">
        <f t="shared" si="24"/>
        <v>0</v>
      </c>
      <c r="P168" s="160">
        <f t="shared" si="43"/>
        <v>0</v>
      </c>
      <c r="Q168" s="184">
        <f t="shared" si="25"/>
        <v>0</v>
      </c>
      <c r="R168" s="160"/>
      <c r="S168" s="160"/>
      <c r="T168" s="160"/>
      <c r="U168" s="160">
        <f t="shared" si="37"/>
        <v>150</v>
      </c>
      <c r="V168" s="160"/>
      <c r="W168" s="160">
        <f t="shared" si="38"/>
        <v>150</v>
      </c>
      <c r="X168" s="160"/>
      <c r="Y168" s="183">
        <f t="shared" si="39"/>
        <v>7.4999999999999969E-2</v>
      </c>
      <c r="Z168" s="183"/>
      <c r="AA168" s="183"/>
      <c r="AB168" s="167">
        <f>[5]APPLICATION!AC41*Z43/100/2</f>
        <v>0</v>
      </c>
      <c r="AC168" s="167"/>
      <c r="AD168" s="135">
        <f>IF(G43="DELIMBER",#REF!,0)</f>
        <v>0</v>
      </c>
      <c r="AE168" s="136">
        <f>IF(G43="FELLERBUNCHER",#REF!,0)</f>
        <v>0</v>
      </c>
      <c r="AF168" s="135">
        <f t="shared" si="26"/>
        <v>0</v>
      </c>
      <c r="AG168" s="135">
        <f>IF(G43="SLASHER",#REF!,0)</f>
        <v>0</v>
      </c>
      <c r="AH168" s="135">
        <f>IF(G43="SKIDDER",#REF!,0)</f>
        <v>0</v>
      </c>
      <c r="AI168" s="135">
        <f t="shared" si="27"/>
        <v>0</v>
      </c>
      <c r="AJ168" s="135">
        <f>IF(G43="LOG LOADER",#REF!,0)</f>
        <v>0</v>
      </c>
      <c r="AK168" s="135">
        <f>IF(W43="Y",#REF!,0)</f>
        <v>0</v>
      </c>
      <c r="AL168" s="135" t="s">
        <v>2</v>
      </c>
      <c r="AM168" s="135">
        <f t="shared" si="40"/>
        <v>0</v>
      </c>
      <c r="AO168" s="135">
        <f t="shared" si="28"/>
        <v>0</v>
      </c>
      <c r="AP168" s="135">
        <f t="shared" si="29"/>
        <v>0</v>
      </c>
      <c r="AQ168" s="135">
        <f t="shared" si="30"/>
        <v>0</v>
      </c>
      <c r="AR168" s="135">
        <f t="shared" si="31"/>
        <v>0</v>
      </c>
      <c r="AS168" s="135">
        <f t="shared" si="32"/>
        <v>0</v>
      </c>
      <c r="AT168" s="135">
        <f t="shared" si="33"/>
        <v>0</v>
      </c>
      <c r="AU168" s="135">
        <f t="shared" si="34"/>
        <v>0</v>
      </c>
      <c r="AV168" s="135">
        <f t="shared" si="35"/>
        <v>0</v>
      </c>
      <c r="AX168" s="131">
        <f t="shared" si="41"/>
        <v>0</v>
      </c>
    </row>
    <row r="169" spans="1:50" ht="15" customHeight="1">
      <c r="A169" s="160"/>
      <c r="B169" s="182">
        <v>1</v>
      </c>
      <c r="C169" s="183">
        <f t="shared" si="22"/>
        <v>4.9999999999999982E-2</v>
      </c>
      <c r="D169" s="160">
        <f t="shared" si="23"/>
        <v>0</v>
      </c>
      <c r="E169" s="184">
        <f t="shared" si="42"/>
        <v>0</v>
      </c>
      <c r="F169" s="184"/>
      <c r="G169" s="184"/>
      <c r="H169" s="185"/>
      <c r="I169" s="184"/>
      <c r="J169" s="160"/>
      <c r="K169" s="160"/>
      <c r="L169" s="160">
        <f t="shared" si="36"/>
        <v>0</v>
      </c>
      <c r="M169" s="160"/>
      <c r="N169" s="184">
        <v>150</v>
      </c>
      <c r="O169" s="184">
        <f t="shared" si="24"/>
        <v>0</v>
      </c>
      <c r="P169" s="160">
        <f t="shared" si="43"/>
        <v>0</v>
      </c>
      <c r="Q169" s="184">
        <f t="shared" si="25"/>
        <v>0</v>
      </c>
      <c r="R169" s="160"/>
      <c r="S169" s="160"/>
      <c r="T169" s="160"/>
      <c r="U169" s="160">
        <f t="shared" si="37"/>
        <v>150</v>
      </c>
      <c r="V169" s="160"/>
      <c r="W169" s="160">
        <f t="shared" si="38"/>
        <v>150</v>
      </c>
      <c r="X169" s="160"/>
      <c r="Y169" s="183">
        <f t="shared" si="39"/>
        <v>7.4999999999999969E-2</v>
      </c>
      <c r="Z169" s="183"/>
      <c r="AA169" s="183"/>
      <c r="AB169" s="167">
        <f>[5]APPLICATION!AC42*Z44/100/2</f>
        <v>0</v>
      </c>
      <c r="AC169" s="167"/>
      <c r="AD169" s="135">
        <f>IF(G44="DELIMBER",#REF!,0)</f>
        <v>0</v>
      </c>
      <c r="AE169" s="136">
        <f>IF(G44="FELLERBUNCHER",#REF!,0)</f>
        <v>0</v>
      </c>
      <c r="AF169" s="135">
        <f t="shared" si="26"/>
        <v>0</v>
      </c>
      <c r="AG169" s="135">
        <f>IF(G44="SLASHER",#REF!,0)</f>
        <v>0</v>
      </c>
      <c r="AH169" s="135">
        <f>IF(G44="SKIDDER",#REF!,0)</f>
        <v>0</v>
      </c>
      <c r="AI169" s="135">
        <f t="shared" si="27"/>
        <v>0</v>
      </c>
      <c r="AJ169" s="135">
        <f>IF(G44="LOG LOADER",#REF!,0)</f>
        <v>0</v>
      </c>
      <c r="AK169" s="135">
        <f>IF(W44="Y",#REF!,0)</f>
        <v>0</v>
      </c>
      <c r="AL169" s="135" t="s">
        <v>2</v>
      </c>
      <c r="AM169" s="135">
        <f t="shared" si="40"/>
        <v>0</v>
      </c>
      <c r="AO169" s="135">
        <f t="shared" si="28"/>
        <v>0</v>
      </c>
      <c r="AP169" s="135">
        <f t="shared" si="29"/>
        <v>0</v>
      </c>
      <c r="AQ169" s="135">
        <f t="shared" si="30"/>
        <v>0</v>
      </c>
      <c r="AR169" s="135">
        <f t="shared" si="31"/>
        <v>0</v>
      </c>
      <c r="AS169" s="135">
        <f t="shared" si="32"/>
        <v>0</v>
      </c>
      <c r="AT169" s="135">
        <f t="shared" si="33"/>
        <v>0</v>
      </c>
      <c r="AU169" s="135">
        <f t="shared" si="34"/>
        <v>0</v>
      </c>
      <c r="AV169" s="135">
        <f t="shared" si="35"/>
        <v>0</v>
      </c>
      <c r="AX169" s="131">
        <f t="shared" si="41"/>
        <v>0</v>
      </c>
    </row>
    <row r="170" spans="1:50" ht="15" customHeight="1">
      <c r="A170" s="160"/>
      <c r="B170" s="182">
        <v>1</v>
      </c>
      <c r="C170" s="183">
        <f t="shared" si="22"/>
        <v>4.9999999999999982E-2</v>
      </c>
      <c r="D170" s="160">
        <f t="shared" si="23"/>
        <v>0</v>
      </c>
      <c r="E170" s="184">
        <f t="shared" si="42"/>
        <v>0</v>
      </c>
      <c r="F170" s="184"/>
      <c r="G170" s="184"/>
      <c r="H170" s="185"/>
      <c r="I170" s="184"/>
      <c r="J170" s="160"/>
      <c r="K170" s="160"/>
      <c r="L170" s="160">
        <f t="shared" si="36"/>
        <v>0</v>
      </c>
      <c r="M170" s="160"/>
      <c r="N170" s="184">
        <v>150</v>
      </c>
      <c r="O170" s="184">
        <f t="shared" si="24"/>
        <v>0</v>
      </c>
      <c r="P170" s="160">
        <f t="shared" si="43"/>
        <v>0</v>
      </c>
      <c r="Q170" s="184">
        <f t="shared" si="25"/>
        <v>0</v>
      </c>
      <c r="R170" s="160"/>
      <c r="S170" s="160"/>
      <c r="T170" s="160"/>
      <c r="U170" s="160">
        <f t="shared" si="37"/>
        <v>150</v>
      </c>
      <c r="V170" s="160"/>
      <c r="W170" s="160">
        <f t="shared" si="38"/>
        <v>150</v>
      </c>
      <c r="X170" s="160"/>
      <c r="Y170" s="183">
        <f t="shared" si="39"/>
        <v>7.4999999999999969E-2</v>
      </c>
      <c r="Z170" s="183"/>
      <c r="AA170" s="183"/>
      <c r="AB170" s="167">
        <f>[5]APPLICATION!AC43*Z45/100/2</f>
        <v>0</v>
      </c>
      <c r="AC170" s="167"/>
      <c r="AD170" s="135">
        <f>IF(G45="DELIMBER",#REF!,0)</f>
        <v>0</v>
      </c>
      <c r="AE170" s="136">
        <f>IF(G45="FELLERBUNCHER",#REF!,0)</f>
        <v>0</v>
      </c>
      <c r="AF170" s="135">
        <f t="shared" si="26"/>
        <v>0</v>
      </c>
      <c r="AG170" s="135">
        <f>IF(G45="SLASHER",#REF!,0)</f>
        <v>0</v>
      </c>
      <c r="AH170" s="135">
        <f>IF(G45="SKIDDER",#REF!,0)</f>
        <v>0</v>
      </c>
      <c r="AI170" s="135">
        <f t="shared" si="27"/>
        <v>0</v>
      </c>
      <c r="AJ170" s="135">
        <f>IF(G45="LOG LOADER",#REF!,0)</f>
        <v>0</v>
      </c>
      <c r="AK170" s="135">
        <f>IF(W45="Y",#REF!,0)</f>
        <v>0</v>
      </c>
      <c r="AL170" s="135" t="s">
        <v>2</v>
      </c>
      <c r="AM170" s="135">
        <f t="shared" si="40"/>
        <v>0</v>
      </c>
      <c r="AO170" s="135">
        <f t="shared" si="28"/>
        <v>0</v>
      </c>
      <c r="AP170" s="135">
        <f t="shared" si="29"/>
        <v>0</v>
      </c>
      <c r="AQ170" s="135">
        <f t="shared" si="30"/>
        <v>0</v>
      </c>
      <c r="AR170" s="135">
        <f t="shared" si="31"/>
        <v>0</v>
      </c>
      <c r="AS170" s="135">
        <f t="shared" si="32"/>
        <v>0</v>
      </c>
      <c r="AT170" s="135">
        <f t="shared" si="33"/>
        <v>0</v>
      </c>
      <c r="AU170" s="135">
        <f t="shared" si="34"/>
        <v>0</v>
      </c>
      <c r="AV170" s="135">
        <f t="shared" si="35"/>
        <v>0</v>
      </c>
      <c r="AX170" s="131">
        <f t="shared" si="41"/>
        <v>0</v>
      </c>
    </row>
    <row r="171" spans="1:50" ht="15" customHeight="1">
      <c r="A171" s="160"/>
      <c r="B171" s="182">
        <v>1</v>
      </c>
      <c r="C171" s="183">
        <f t="shared" si="22"/>
        <v>4.9999999999999982E-2</v>
      </c>
      <c r="D171" s="160">
        <f t="shared" si="23"/>
        <v>0</v>
      </c>
      <c r="E171" s="184">
        <f t="shared" si="42"/>
        <v>0</v>
      </c>
      <c r="F171" s="184"/>
      <c r="G171" s="184"/>
      <c r="H171" s="185"/>
      <c r="I171" s="184"/>
      <c r="J171" s="160"/>
      <c r="K171" s="160"/>
      <c r="L171" s="160">
        <f t="shared" si="36"/>
        <v>0</v>
      </c>
      <c r="M171" s="160"/>
      <c r="N171" s="184">
        <v>150</v>
      </c>
      <c r="O171" s="184">
        <f t="shared" si="24"/>
        <v>0</v>
      </c>
      <c r="P171" s="160">
        <f t="shared" si="43"/>
        <v>0</v>
      </c>
      <c r="Q171" s="184">
        <f t="shared" si="25"/>
        <v>0</v>
      </c>
      <c r="R171" s="160"/>
      <c r="S171" s="160"/>
      <c r="T171" s="160"/>
      <c r="U171" s="160">
        <f t="shared" si="37"/>
        <v>150</v>
      </c>
      <c r="V171" s="160"/>
      <c r="W171" s="160">
        <f t="shared" si="38"/>
        <v>150</v>
      </c>
      <c r="X171" s="160"/>
      <c r="Y171" s="183">
        <f t="shared" si="39"/>
        <v>7.4999999999999969E-2</v>
      </c>
      <c r="Z171" s="183"/>
      <c r="AA171" s="183"/>
      <c r="AB171" s="167">
        <f>[5]APPLICATION!AC44*Z46/100/2</f>
        <v>0</v>
      </c>
      <c r="AC171" s="167"/>
      <c r="AD171" s="135">
        <f>IF(G46="DELIMBER",#REF!,0)</f>
        <v>0</v>
      </c>
      <c r="AE171" s="136">
        <f>IF(G46="FELLERBUNCHER",#REF!,0)</f>
        <v>0</v>
      </c>
      <c r="AF171" s="135">
        <f t="shared" si="26"/>
        <v>0</v>
      </c>
      <c r="AG171" s="135">
        <f>IF(G46="SLASHER",#REF!,0)</f>
        <v>0</v>
      </c>
      <c r="AH171" s="135">
        <f>IF(G46="SKIDDER",#REF!,0)</f>
        <v>0</v>
      </c>
      <c r="AI171" s="135">
        <f t="shared" si="27"/>
        <v>0</v>
      </c>
      <c r="AJ171" s="135">
        <f>IF(G46="LOG LOADER",#REF!,0)</f>
        <v>0</v>
      </c>
      <c r="AK171" s="135">
        <f>IF(W46="Y",#REF!,0)</f>
        <v>0</v>
      </c>
      <c r="AL171" s="135" t="s">
        <v>2</v>
      </c>
      <c r="AM171" s="135">
        <f t="shared" si="40"/>
        <v>0</v>
      </c>
      <c r="AO171" s="135">
        <f t="shared" si="28"/>
        <v>0</v>
      </c>
      <c r="AP171" s="135">
        <f t="shared" si="29"/>
        <v>0</v>
      </c>
      <c r="AQ171" s="135">
        <f t="shared" si="30"/>
        <v>0</v>
      </c>
      <c r="AR171" s="135">
        <f t="shared" si="31"/>
        <v>0</v>
      </c>
      <c r="AS171" s="135">
        <f t="shared" si="32"/>
        <v>0</v>
      </c>
      <c r="AT171" s="135">
        <f t="shared" si="33"/>
        <v>0</v>
      </c>
      <c r="AU171" s="135">
        <f t="shared" si="34"/>
        <v>0</v>
      </c>
      <c r="AV171" s="135">
        <f t="shared" si="35"/>
        <v>0</v>
      </c>
      <c r="AX171" s="131">
        <f t="shared" si="41"/>
        <v>0</v>
      </c>
    </row>
    <row r="172" spans="1:50" ht="15" customHeight="1">
      <c r="A172" s="160"/>
      <c r="B172" s="182">
        <v>1</v>
      </c>
      <c r="C172" s="183">
        <f t="shared" si="22"/>
        <v>4.9999999999999982E-2</v>
      </c>
      <c r="D172" s="160">
        <f t="shared" si="23"/>
        <v>0</v>
      </c>
      <c r="E172" s="184">
        <f t="shared" si="42"/>
        <v>0</v>
      </c>
      <c r="F172" s="184"/>
      <c r="G172" s="184"/>
      <c r="H172" s="185"/>
      <c r="I172" s="184"/>
      <c r="J172" s="160"/>
      <c r="K172" s="160"/>
      <c r="L172" s="160">
        <f t="shared" si="36"/>
        <v>0</v>
      </c>
      <c r="M172" s="160"/>
      <c r="N172" s="184">
        <v>150</v>
      </c>
      <c r="O172" s="184">
        <f t="shared" si="24"/>
        <v>0</v>
      </c>
      <c r="P172" s="160">
        <f t="shared" si="43"/>
        <v>0</v>
      </c>
      <c r="Q172" s="184">
        <f t="shared" si="25"/>
        <v>0</v>
      </c>
      <c r="R172" s="160"/>
      <c r="S172" s="160"/>
      <c r="T172" s="160"/>
      <c r="U172" s="160">
        <f t="shared" si="37"/>
        <v>150</v>
      </c>
      <c r="V172" s="160"/>
      <c r="W172" s="160">
        <f t="shared" si="38"/>
        <v>150</v>
      </c>
      <c r="X172" s="160"/>
      <c r="Y172" s="183">
        <f t="shared" si="39"/>
        <v>7.4999999999999969E-2</v>
      </c>
      <c r="Z172" s="183"/>
      <c r="AA172" s="183"/>
      <c r="AB172" s="167">
        <f>[5]APPLICATION!AC45*Z47/100/2</f>
        <v>0</v>
      </c>
      <c r="AC172" s="167"/>
      <c r="AD172" s="135">
        <f>IF(G47="DELIMBER",#REF!,0)</f>
        <v>0</v>
      </c>
      <c r="AE172" s="136">
        <f>IF(G47="FELLERBUNCHER",#REF!,0)</f>
        <v>0</v>
      </c>
      <c r="AF172" s="135">
        <f t="shared" si="26"/>
        <v>0</v>
      </c>
      <c r="AG172" s="135">
        <f>IF(G47="SLASHER",#REF!,0)</f>
        <v>0</v>
      </c>
      <c r="AH172" s="135">
        <f>IF(G47="SKIDDER",#REF!,0)</f>
        <v>0</v>
      </c>
      <c r="AI172" s="135">
        <f t="shared" si="27"/>
        <v>0</v>
      </c>
      <c r="AJ172" s="135">
        <f>IF(G47="LOG LOADER",#REF!,0)</f>
        <v>0</v>
      </c>
      <c r="AK172" s="135">
        <f>IF(W47="Y",#REF!,0)</f>
        <v>0</v>
      </c>
      <c r="AL172" s="135" t="s">
        <v>2</v>
      </c>
      <c r="AM172" s="135">
        <f t="shared" si="40"/>
        <v>0</v>
      </c>
      <c r="AO172" s="135">
        <f t="shared" si="28"/>
        <v>0</v>
      </c>
      <c r="AP172" s="135">
        <f t="shared" si="29"/>
        <v>0</v>
      </c>
      <c r="AQ172" s="135">
        <f t="shared" si="30"/>
        <v>0</v>
      </c>
      <c r="AR172" s="135">
        <f t="shared" si="31"/>
        <v>0</v>
      </c>
      <c r="AS172" s="135">
        <f t="shared" si="32"/>
        <v>0</v>
      </c>
      <c r="AT172" s="135">
        <f t="shared" si="33"/>
        <v>0</v>
      </c>
      <c r="AU172" s="135">
        <f t="shared" si="34"/>
        <v>0</v>
      </c>
      <c r="AV172" s="135">
        <f t="shared" si="35"/>
        <v>0</v>
      </c>
      <c r="AX172" s="131">
        <f t="shared" si="41"/>
        <v>0</v>
      </c>
    </row>
    <row r="173" spans="1:50">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row>
    <row r="174" spans="1:50">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row>
    <row r="175" spans="1:50">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row>
    <row r="176" spans="1:50">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row>
    <row r="177" spans="1:29">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row>
    <row r="178" spans="1:29">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row>
    <row r="179" spans="1:29">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row>
    <row r="180" spans="1:29">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row>
    <row r="181" spans="1:29">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row>
    <row r="182" spans="1:29">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row>
    <row r="183" spans="1:29">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row>
    <row r="184" spans="1:29">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row>
    <row r="185" spans="1:29">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row>
    <row r="186" spans="1:29">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row>
    <row r="187" spans="1:29">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row>
    <row r="188" spans="1:29">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row>
    <row r="189" spans="1:29">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row>
    <row r="190" spans="1:29">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row>
    <row r="191" spans="1:29">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row>
    <row r="192" spans="1:29">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row>
    <row r="193" spans="1:29">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row>
    <row r="194" spans="1:29">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row>
    <row r="195" spans="1:29">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row>
    <row r="196" spans="1:29">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row>
    <row r="197" spans="1:29">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row>
    <row r="198" spans="1:29">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row>
    <row r="199" spans="1:29">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row>
    <row r="200" spans="1:29">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row>
    <row r="201" spans="1:29">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row>
    <row r="202" spans="1:29">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row>
    <row r="203" spans="1:29">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row>
    <row r="204" spans="1:29">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row>
    <row r="205" spans="1:29">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row>
    <row r="206" spans="1:29">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row>
    <row r="207" spans="1:29">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row>
    <row r="208" spans="1:29">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row>
    <row r="209" spans="1:29">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row>
    <row r="210" spans="1:29">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row>
    <row r="211" spans="1:29">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row>
    <row r="212" spans="1:29">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row>
    <row r="213" spans="1:29">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row>
    <row r="214" spans="1:29">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row>
    <row r="215" spans="1:29">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row>
    <row r="216" spans="1:29">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row>
    <row r="217" spans="1:29">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row>
    <row r="218" spans="1:29">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row>
    <row r="219" spans="1:29">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row>
    <row r="220" spans="1:29">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row>
    <row r="221" spans="1:29">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row>
    <row r="222" spans="1:29">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row>
    <row r="223" spans="1:29">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row>
    <row r="224" spans="1:29">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row>
    <row r="225" spans="1:29">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row>
    <row r="226" spans="1:29">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row>
    <row r="227" spans="1:29">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row>
    <row r="228" spans="1:29">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row>
    <row r="229" spans="1:29">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row>
    <row r="230" spans="1:29">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row>
    <row r="231" spans="1:29">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row>
    <row r="232" spans="1:29">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row>
    <row r="233" spans="1:29">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row>
    <row r="234" spans="1:29">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row>
    <row r="235" spans="1:29">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row>
    <row r="236" spans="1:29">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row>
    <row r="237" spans="1:29">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row>
    <row r="238" spans="1:29">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row>
    <row r="239" spans="1:29">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row>
    <row r="240" spans="1:29">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row>
    <row r="241" spans="1:29">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row>
    <row r="242" spans="1:29">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row>
    <row r="243" spans="1:29">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row>
    <row r="244" spans="1:29">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row>
    <row r="245" spans="1:29">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row>
    <row r="246" spans="1:29">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row>
    <row r="247" spans="1:29">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row>
    <row r="248" spans="1:29">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row>
    <row r="249" spans="1:29">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row>
    <row r="250" spans="1:29">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row>
    <row r="251" spans="1:29">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row>
    <row r="252" spans="1:29">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row>
    <row r="253" spans="1:29">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row>
    <row r="254" spans="1:29">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row>
    <row r="255" spans="1:29">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row>
    <row r="256" spans="1:29">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row>
    <row r="257" spans="1:29">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row>
    <row r="258" spans="1:29">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row>
    <row r="259" spans="1:29">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row>
    <row r="260" spans="1:29">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row>
    <row r="261" spans="1:29">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row>
    <row r="262" spans="1:29">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row>
    <row r="263" spans="1:29">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row>
    <row r="264" spans="1:29">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row>
    <row r="265" spans="1:29">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row>
    <row r="266" spans="1:29">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row>
    <row r="267" spans="1:29">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row>
    <row r="268" spans="1:29">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row>
    <row r="269" spans="1:29">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row>
    <row r="270" spans="1:29">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row>
    <row r="271" spans="1:29">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row>
    <row r="272" spans="1:29">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row>
    <row r="273" spans="1:29">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row>
    <row r="274" spans="1:29">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row>
    <row r="275" spans="1:29">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row>
    <row r="276" spans="1:29">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row>
    <row r="277" spans="1:29">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row>
    <row r="278" spans="1:29">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row>
    <row r="279" spans="1:29">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row>
    <row r="280" spans="1:29">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row>
    <row r="281" spans="1:29">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row>
    <row r="282" spans="1:29">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row>
    <row r="283" spans="1:29">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row>
    <row r="284" spans="1:29">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row>
    <row r="285" spans="1:29">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row>
    <row r="286" spans="1:29">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row>
    <row r="287" spans="1:29">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row>
    <row r="288" spans="1:29">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row>
    <row r="289" spans="1:29">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row>
    <row r="290" spans="1:29">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row>
    <row r="291" spans="1:29">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row>
    <row r="292" spans="1:29">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row>
    <row r="293" spans="1:29">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row>
    <row r="294" spans="1:29">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row>
    <row r="295" spans="1:29">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row>
    <row r="296" spans="1:29">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row>
    <row r="297" spans="1:29">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row>
    <row r="298" spans="1:29">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row>
    <row r="299" spans="1:29">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row>
    <row r="300" spans="1:29">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row>
    <row r="301" spans="1:29">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row>
    <row r="302" spans="1:29">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row>
    <row r="303" spans="1:29">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row>
    <row r="304" spans="1:29">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row>
    <row r="305" spans="1:29">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row>
    <row r="306" spans="1:29">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row>
    <row r="307" spans="1:29">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row>
    <row r="308" spans="1:29">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row>
    <row r="309" spans="1:29">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row>
    <row r="310" spans="1:29">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row>
    <row r="311" spans="1:29">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row>
    <row r="312" spans="1:29">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row>
    <row r="313" spans="1:29">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row>
    <row r="314" spans="1:29">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row>
    <row r="315" spans="1:29">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row>
    <row r="316" spans="1:29">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row>
    <row r="317" spans="1:29">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row>
    <row r="318" spans="1:29">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row>
    <row r="319" spans="1:29">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row>
    <row r="320" spans="1:29">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row>
    <row r="321" spans="1:29">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row>
    <row r="322" spans="1:29">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row>
    <row r="323" spans="1:29">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row>
    <row r="324" spans="1:29">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row>
    <row r="325" spans="1:29">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row>
    <row r="326" spans="1:29">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row>
    <row r="327" spans="1:29">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row>
    <row r="328" spans="1:29">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row>
    <row r="329" spans="1:29">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row>
    <row r="330" spans="1:29">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row>
    <row r="331" spans="1:29">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row>
    <row r="332" spans="1:29">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row>
    <row r="333" spans="1:29">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row>
    <row r="334" spans="1:29">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row>
    <row r="335" spans="1:29">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row>
    <row r="336" spans="1:29">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row>
    <row r="337" spans="1:29">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row>
    <row r="338" spans="1:29">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row>
    <row r="339" spans="1:29">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row>
    <row r="340" spans="1:29">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row>
    <row r="341" spans="1:29">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row>
    <row r="342" spans="1:29">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row>
    <row r="343" spans="1:29">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row>
    <row r="344" spans="1:29">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row>
    <row r="345" spans="1:29">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row>
    <row r="346" spans="1:29">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row>
    <row r="347" spans="1:29">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row>
    <row r="348" spans="1:29">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row>
    <row r="349" spans="1:29">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row>
    <row r="350" spans="1:29">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row>
    <row r="351" spans="1:29">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row>
    <row r="352" spans="1:29">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row>
    <row r="353" spans="1:29">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row>
    <row r="354" spans="1:29">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row>
    <row r="355" spans="1:29">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row>
    <row r="356" spans="1:29">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row>
    <row r="357" spans="1:29">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row>
    <row r="358" spans="1:29">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row>
    <row r="359" spans="1:29">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row>
    <row r="360" spans="1:29">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row>
    <row r="361" spans="1:29">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row>
    <row r="362" spans="1:29">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row>
    <row r="363" spans="1:29">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row>
    <row r="364" spans="1:29">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row>
    <row r="365" spans="1:29">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row>
    <row r="366" spans="1:29">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row>
    <row r="367" spans="1:29">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row>
    <row r="368" spans="1:29">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row>
    <row r="369" spans="1:29">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row>
    <row r="370" spans="1:29">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row>
    <row r="371" spans="1:29">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row>
    <row r="372" spans="1:29">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row>
    <row r="373" spans="1:29">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row>
    <row r="374" spans="1:29">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row>
    <row r="375" spans="1:29">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row>
    <row r="376" spans="1:29">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row>
    <row r="377" spans="1:29">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row>
    <row r="378" spans="1:29">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row>
    <row r="379" spans="1:29">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row>
    <row r="380" spans="1:29">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row>
    <row r="381" spans="1:29">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row>
    <row r="382" spans="1:29">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row>
    <row r="383" spans="1:29">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row>
    <row r="384" spans="1:29">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row>
    <row r="385" spans="1:29">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row>
    <row r="386" spans="1:29">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row>
    <row r="387" spans="1:29">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row>
    <row r="388" spans="1:29">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row>
    <row r="389" spans="1:29">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row>
    <row r="390" spans="1:29">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row>
    <row r="391" spans="1:29">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row>
    <row r="392" spans="1:29">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row>
    <row r="393" spans="1:29">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row>
    <row r="394" spans="1:29">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row>
    <row r="395" spans="1:29">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row>
    <row r="396" spans="1:29">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row>
    <row r="397" spans="1:29">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row>
    <row r="398" spans="1:29">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row>
    <row r="399" spans="1:29">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row>
    <row r="400" spans="1:29">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row>
    <row r="401" spans="1:29">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row>
    <row r="402" spans="1:29">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row>
    <row r="403" spans="1:29">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row>
    <row r="404" spans="1:29">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row>
    <row r="405" spans="1:29">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row>
    <row r="406" spans="1:29">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row>
    <row r="407" spans="1:29">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row>
    <row r="408" spans="1:29">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row>
    <row r="409" spans="1:29">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row>
    <row r="410" spans="1:29">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row>
    <row r="411" spans="1:29">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row>
    <row r="412" spans="1:29">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row>
    <row r="413" spans="1:29">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row>
    <row r="414" spans="1:29">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row>
    <row r="415" spans="1:29">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row>
    <row r="416" spans="1:29">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row>
    <row r="417" spans="1:29">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row>
    <row r="418" spans="1:29">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row>
    <row r="419" spans="1:29">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row>
    <row r="420" spans="1:29">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row>
    <row r="421" spans="1:29">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row>
    <row r="422" spans="1:29">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row>
    <row r="423" spans="1:29">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row>
    <row r="424" spans="1:29">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row>
    <row r="425" spans="1:29">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row>
    <row r="426" spans="1:29">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row>
    <row r="427" spans="1:29">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row>
    <row r="428" spans="1:29">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row>
    <row r="429" spans="1:29">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row>
    <row r="430" spans="1:29">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row>
    <row r="431" spans="1:29">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row>
    <row r="432" spans="1:29">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row>
    <row r="433" spans="1:29">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row>
    <row r="434" spans="1:29">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row>
    <row r="435" spans="1:29">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row>
  </sheetData>
  <sheetProtection password="CCDF" sheet="1"/>
  <mergeCells count="220">
    <mergeCell ref="F8:P8"/>
    <mergeCell ref="U8:Y8"/>
    <mergeCell ref="AB8:AF8"/>
    <mergeCell ref="F10:P10"/>
    <mergeCell ref="Q2:R2"/>
    <mergeCell ref="P3:R3"/>
    <mergeCell ref="S3:X3"/>
    <mergeCell ref="H5:Y5"/>
    <mergeCell ref="F15:H15"/>
    <mergeCell ref="N15:P15"/>
    <mergeCell ref="U15:Y15"/>
    <mergeCell ref="AB15:AF15"/>
    <mergeCell ref="F11:P11"/>
    <mergeCell ref="U11:Y11"/>
    <mergeCell ref="AB11:AF11"/>
    <mergeCell ref="F13:H13"/>
    <mergeCell ref="N13:P13"/>
    <mergeCell ref="U13:Y13"/>
    <mergeCell ref="AB13:AF13"/>
    <mergeCell ref="J24:L24"/>
    <mergeCell ref="M24:O24"/>
    <mergeCell ref="D23:F23"/>
    <mergeCell ref="G23:I23"/>
    <mergeCell ref="J23:L23"/>
    <mergeCell ref="M23:O23"/>
    <mergeCell ref="P23:Q23"/>
    <mergeCell ref="F17:H17"/>
    <mergeCell ref="R17:Y17"/>
    <mergeCell ref="F18:H18"/>
    <mergeCell ref="D21:F21"/>
    <mergeCell ref="G21:I21"/>
    <mergeCell ref="J21:L21"/>
    <mergeCell ref="M21:O21"/>
    <mergeCell ref="P21:Q21"/>
    <mergeCell ref="R21:S21"/>
    <mergeCell ref="C19:AA19"/>
    <mergeCell ref="D28:F28"/>
    <mergeCell ref="G28:I28"/>
    <mergeCell ref="J28:L28"/>
    <mergeCell ref="M28:O28"/>
    <mergeCell ref="D27:F27"/>
    <mergeCell ref="G27:I27"/>
    <mergeCell ref="P27:Q27"/>
    <mergeCell ref="R23:S23"/>
    <mergeCell ref="P24:Q24"/>
    <mergeCell ref="R24:S24"/>
    <mergeCell ref="P26:Q26"/>
    <mergeCell ref="R26:S26"/>
    <mergeCell ref="P25:Q25"/>
    <mergeCell ref="R25:S25"/>
    <mergeCell ref="D26:F26"/>
    <mergeCell ref="G26:I26"/>
    <mergeCell ref="J26:L26"/>
    <mergeCell ref="M26:O26"/>
    <mergeCell ref="D25:F25"/>
    <mergeCell ref="G25:I25"/>
    <mergeCell ref="J25:L25"/>
    <mergeCell ref="M25:O25"/>
    <mergeCell ref="D24:F24"/>
    <mergeCell ref="G24:I24"/>
    <mergeCell ref="J32:L32"/>
    <mergeCell ref="M32:O32"/>
    <mergeCell ref="D31:F31"/>
    <mergeCell ref="G31:I31"/>
    <mergeCell ref="J31:L31"/>
    <mergeCell ref="M31:O31"/>
    <mergeCell ref="P31:Q31"/>
    <mergeCell ref="R27:S27"/>
    <mergeCell ref="P28:Q28"/>
    <mergeCell ref="R28:S28"/>
    <mergeCell ref="J29:L29"/>
    <mergeCell ref="M29:O29"/>
    <mergeCell ref="P29:Q29"/>
    <mergeCell ref="R29:S29"/>
    <mergeCell ref="J27:L27"/>
    <mergeCell ref="M27:O27"/>
    <mergeCell ref="D30:F30"/>
    <mergeCell ref="G30:I30"/>
    <mergeCell ref="J30:L30"/>
    <mergeCell ref="M30:O30"/>
    <mergeCell ref="P30:Q30"/>
    <mergeCell ref="R30:S30"/>
    <mergeCell ref="D29:F29"/>
    <mergeCell ref="G29:I29"/>
    <mergeCell ref="D36:F36"/>
    <mergeCell ref="G36:I36"/>
    <mergeCell ref="J36:L36"/>
    <mergeCell ref="M36:O36"/>
    <mergeCell ref="D35:F35"/>
    <mergeCell ref="G35:I35"/>
    <mergeCell ref="P35:Q35"/>
    <mergeCell ref="R31:S31"/>
    <mergeCell ref="P32:Q32"/>
    <mergeCell ref="R32:S32"/>
    <mergeCell ref="P34:Q34"/>
    <mergeCell ref="R34:S34"/>
    <mergeCell ref="P33:Q33"/>
    <mergeCell ref="R33:S33"/>
    <mergeCell ref="D34:F34"/>
    <mergeCell ref="G34:I34"/>
    <mergeCell ref="J34:L34"/>
    <mergeCell ref="M34:O34"/>
    <mergeCell ref="D33:F33"/>
    <mergeCell ref="G33:I33"/>
    <mergeCell ref="J33:L33"/>
    <mergeCell ref="M33:O33"/>
    <mergeCell ref="D32:F32"/>
    <mergeCell ref="G32:I32"/>
    <mergeCell ref="J40:L40"/>
    <mergeCell ref="M40:O40"/>
    <mergeCell ref="D39:F39"/>
    <mergeCell ref="G39:I39"/>
    <mergeCell ref="J39:L39"/>
    <mergeCell ref="M39:O39"/>
    <mergeCell ref="D41:F41"/>
    <mergeCell ref="R35:S35"/>
    <mergeCell ref="P36:Q36"/>
    <mergeCell ref="R36:S36"/>
    <mergeCell ref="J37:L37"/>
    <mergeCell ref="M37:O37"/>
    <mergeCell ref="P37:Q37"/>
    <mergeCell ref="R37:S37"/>
    <mergeCell ref="J35:L35"/>
    <mergeCell ref="M35:O35"/>
    <mergeCell ref="D38:F38"/>
    <mergeCell ref="G38:I38"/>
    <mergeCell ref="J38:L38"/>
    <mergeCell ref="M38:O38"/>
    <mergeCell ref="P38:Q38"/>
    <mergeCell ref="R38:S38"/>
    <mergeCell ref="D37:F37"/>
    <mergeCell ref="G37:I37"/>
    <mergeCell ref="D46:F46"/>
    <mergeCell ref="G46:I46"/>
    <mergeCell ref="J46:L46"/>
    <mergeCell ref="M46:O46"/>
    <mergeCell ref="P46:Q46"/>
    <mergeCell ref="R46:S46"/>
    <mergeCell ref="R39:S39"/>
    <mergeCell ref="P40:Q40"/>
    <mergeCell ref="R40:S40"/>
    <mergeCell ref="P41:Q41"/>
    <mergeCell ref="R41:S41"/>
    <mergeCell ref="P42:Q42"/>
    <mergeCell ref="R42:S42"/>
    <mergeCell ref="P39:Q39"/>
    <mergeCell ref="G41:I41"/>
    <mergeCell ref="D42:F42"/>
    <mergeCell ref="G42:I42"/>
    <mergeCell ref="J42:L42"/>
    <mergeCell ref="M42:O42"/>
    <mergeCell ref="J41:L41"/>
    <mergeCell ref="M41:O41"/>
    <mergeCell ref="M43:O43"/>
    <mergeCell ref="D40:F40"/>
    <mergeCell ref="G40:I40"/>
    <mergeCell ref="D43:F43"/>
    <mergeCell ref="G43:I43"/>
    <mergeCell ref="J43:L43"/>
    <mergeCell ref="J44:L44"/>
    <mergeCell ref="M44:O44"/>
    <mergeCell ref="J45:L45"/>
    <mergeCell ref="M45:O45"/>
    <mergeCell ref="R43:S43"/>
    <mergeCell ref="D44:F44"/>
    <mergeCell ref="G44:I44"/>
    <mergeCell ref="P45:Q45"/>
    <mergeCell ref="R45:S45"/>
    <mergeCell ref="D45:F45"/>
    <mergeCell ref="G45:I45"/>
    <mergeCell ref="P44:Q44"/>
    <mergeCell ref="R44:S44"/>
    <mergeCell ref="P43:Q43"/>
    <mergeCell ref="AA50:AA51"/>
    <mergeCell ref="S51:W51"/>
    <mergeCell ref="P47:Q47"/>
    <mergeCell ref="R47:S47"/>
    <mergeCell ref="C49:I49"/>
    <mergeCell ref="J49:L49"/>
    <mergeCell ref="M49:O49"/>
    <mergeCell ref="P49:Q49"/>
    <mergeCell ref="R49:W49"/>
    <mergeCell ref="D47:F47"/>
    <mergeCell ref="G47:I47"/>
    <mergeCell ref="J47:L47"/>
    <mergeCell ref="M47:O47"/>
    <mergeCell ref="B93:G93"/>
    <mergeCell ref="H93:K93"/>
    <mergeCell ref="H95:K95"/>
    <mergeCell ref="N95:O95"/>
    <mergeCell ref="S95:U95"/>
    <mergeCell ref="Y49:Z49"/>
    <mergeCell ref="Y50:Z51"/>
    <mergeCell ref="J51:L51"/>
    <mergeCell ref="H99:K99"/>
    <mergeCell ref="N99:P99"/>
    <mergeCell ref="H97:K97"/>
    <mergeCell ref="N97:O97"/>
    <mergeCell ref="S97:U97"/>
    <mergeCell ref="H101:K101"/>
    <mergeCell ref="H102:K102"/>
    <mergeCell ref="N102:P102"/>
    <mergeCell ref="Y145:Z145"/>
    <mergeCell ref="W114:Y114"/>
    <mergeCell ref="E111:U111"/>
    <mergeCell ref="W111:Y111"/>
    <mergeCell ref="E112:U112"/>
    <mergeCell ref="W112:Y112"/>
    <mergeCell ref="H103:K103"/>
    <mergeCell ref="E109:U109"/>
    <mergeCell ref="W109:Y109"/>
    <mergeCell ref="E110:U110"/>
    <mergeCell ref="W110:Y110"/>
    <mergeCell ref="E115:U115"/>
    <mergeCell ref="W115:Y115"/>
    <mergeCell ref="E116:U116"/>
    <mergeCell ref="W116:Y116"/>
    <mergeCell ref="E113:U113"/>
    <mergeCell ref="W113:Y113"/>
    <mergeCell ref="E114:U114"/>
  </mergeCells>
  <phoneticPr fontId="98" type="noConversion"/>
  <conditionalFormatting sqref="AA23:AA47">
    <cfRule type="cellIs" dxfId="14" priority="47" stopIfTrue="1" operator="between">
      <formula>"y"</formula>
      <formula>"y"</formula>
    </cfRule>
  </conditionalFormatting>
  <conditionalFormatting sqref="M23 J23 C23:D23">
    <cfRule type="expression" dxfId="13" priority="46" stopIfTrue="1">
      <formula>"IF(P22&lt;70001)"</formula>
    </cfRule>
  </conditionalFormatting>
  <conditionalFormatting sqref="C23">
    <cfRule type="expression" dxfId="12" priority="45" stopIfTrue="1">
      <formula>"P22&lt;70001"</formula>
    </cfRule>
  </conditionalFormatting>
  <conditionalFormatting sqref="P23:Q23">
    <cfRule type="expression" dxfId="11" priority="34" stopIfTrue="1">
      <formula>P23&lt;1</formula>
    </cfRule>
  </conditionalFormatting>
  <conditionalFormatting sqref="C23">
    <cfRule type="expression" dxfId="10" priority="30" stopIfTrue="1">
      <formula>$P23&lt;1</formula>
    </cfRule>
  </conditionalFormatting>
  <conditionalFormatting sqref="D23:F23">
    <cfRule type="expression" dxfId="9" priority="28" stopIfTrue="1">
      <formula>$P23&lt;1</formula>
    </cfRule>
  </conditionalFormatting>
  <conditionalFormatting sqref="G23:I23">
    <cfRule type="expression" dxfId="8" priority="23" stopIfTrue="1">
      <formula>$P23&lt;1</formula>
    </cfRule>
  </conditionalFormatting>
  <conditionalFormatting sqref="J23:L23">
    <cfRule type="expression" dxfId="7" priority="22" stopIfTrue="1">
      <formula>$P23&lt;1</formula>
    </cfRule>
  </conditionalFormatting>
  <conditionalFormatting sqref="M23:O23">
    <cfRule type="expression" priority="21" stopIfTrue="1">
      <formula>$P23&lt;1</formula>
    </cfRule>
  </conditionalFormatting>
  <conditionalFormatting sqref="M24:M47 J24:J47 C24:D47">
    <cfRule type="expression" dxfId="6" priority="8" stopIfTrue="1">
      <formula>"IF(P22&lt;70001)"</formula>
    </cfRule>
  </conditionalFormatting>
  <conditionalFormatting sqref="C24:C47">
    <cfRule type="expression" dxfId="5" priority="7" stopIfTrue="1">
      <formula>"P22&lt;70001"</formula>
    </cfRule>
  </conditionalFormatting>
  <conditionalFormatting sqref="P24:Q47">
    <cfRule type="expression" dxfId="4" priority="6" stopIfTrue="1">
      <formula>P24&lt;1</formula>
    </cfRule>
  </conditionalFormatting>
  <conditionalFormatting sqref="C24:C47">
    <cfRule type="expression" dxfId="3" priority="5" stopIfTrue="1">
      <formula>$P24&lt;1</formula>
    </cfRule>
  </conditionalFormatting>
  <conditionalFormatting sqref="D24:F47">
    <cfRule type="expression" dxfId="2" priority="4" stopIfTrue="1">
      <formula>$P24&lt;1</formula>
    </cfRule>
  </conditionalFormatting>
  <conditionalFormatting sqref="G24:I47">
    <cfRule type="expression" dxfId="1" priority="3" stopIfTrue="1">
      <formula>$P24&lt;1</formula>
    </cfRule>
  </conditionalFormatting>
  <conditionalFormatting sqref="J24:L47">
    <cfRule type="expression" dxfId="0" priority="2" stopIfTrue="1">
      <formula>$P24&lt;1</formula>
    </cfRule>
  </conditionalFormatting>
  <conditionalFormatting sqref="M24:O47">
    <cfRule type="expression" priority="1" stopIfTrue="1">
      <formula>$P24&lt;1</formula>
    </cfRule>
  </conditionalFormatting>
  <pageMargins left="0" right="0" top="0" bottom="0" header="0.3" footer="0.3"/>
  <pageSetup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PROPOSITION</vt:lpstr>
      <vt:lpstr>PW print to PDF</vt:lpstr>
      <vt:lpstr>EQUIPEMENTS</vt:lpstr>
      <vt:lpstr>RESPONSABILITE CIVILE</vt:lpstr>
      <vt:lpstr>Annexes supplementaires</vt:lpstr>
      <vt:lpstr>List des Pieces et Outils</vt:lpstr>
      <vt:lpstr>ENGAGEMENTS FORMELS</vt:lpstr>
      <vt:lpstr>QUESTIONNAIRE DE RECLAMATION</vt:lpstr>
      <vt:lpstr>DBD app hide</vt:lpstr>
      <vt:lpstr>DBD hide</vt:lpstr>
      <vt:lpstr>'Annexes supplementaires'!Print_Area</vt:lpstr>
      <vt:lpstr>'DBD hide'!Print_Area</vt:lpstr>
      <vt:lpstr>'ENGAGEMENTS FORMELS'!Print_Area</vt:lpstr>
      <vt:lpstr>EQUIPEMENTS!Print_Area</vt:lpstr>
      <vt:lpstr>'List des Pieces et Outils'!Print_Area</vt:lpstr>
      <vt:lpstr>PROPOSITION!Print_Area</vt:lpstr>
      <vt:lpstr>'PW print to PDF'!Print_Area</vt:lpstr>
      <vt:lpstr>'QUESTIONNAIRE DE RECLAMATION'!Print_Area</vt:lpstr>
      <vt:lpstr>'RESPONSABILITE CIVILE'!Print_Area</vt:lpstr>
    </vt:vector>
  </TitlesOfParts>
  <Company>Superior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ckrosa</dc:creator>
  <cp:lastModifiedBy>Cam Rosa</cp:lastModifiedBy>
  <cp:lastPrinted>2015-06-23T21:18:36Z</cp:lastPrinted>
  <dcterms:created xsi:type="dcterms:W3CDTF">2003-03-18T18:35:50Z</dcterms:created>
  <dcterms:modified xsi:type="dcterms:W3CDTF">2015-09-13T20:16:57Z</dcterms:modified>
</cp:coreProperties>
</file>